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60" yWindow="320" windowWidth="30800" windowHeight="24380" tabRatio="939" activeTab="0"/>
  </bookViews>
  <sheets>
    <sheet name="Weight sheet" sheetId="1" r:id="rId1"/>
    <sheet name="Cal" sheetId="2" r:id="rId2"/>
    <sheet name="Trim" sheetId="3" r:id="rId3"/>
    <sheet name="Pres cal" sheetId="4" r:id="rId4"/>
    <sheet name="Lead Worksheet" sheetId="5" r:id="rId5"/>
    <sheet name="Ballast" sheetId="6" r:id="rId6"/>
    <sheet name="Tank _ PS notes" sheetId="7" r:id="rId7"/>
    <sheet name="Maint" sheetId="8" r:id="rId8"/>
    <sheet name="Motor Data" sheetId="9" r:id="rId9"/>
    <sheet name="Material" sheetId="10" r:id="rId10"/>
    <sheet name="sg_calib_constants" sheetId="11" r:id="rId11"/>
    <sheet name="CMDFILE" sheetId="12" r:id="rId12"/>
  </sheets>
  <externalReferences>
    <externalReference r:id="rId15"/>
  </externalReferences>
  <definedNames>
    <definedName name="Alum_density" localSheetId="0">#REF!</definedName>
    <definedName name="Alum_density">'Material'!$B$3</definedName>
    <definedName name="Bat_Hull_Vol" localSheetId="11">'[1]Trim'!#REF!</definedName>
    <definedName name="Bat_Hull_Vol" localSheetId="10">'[1]Trim'!#REF!</definedName>
    <definedName name="Bat_Hull_Vol" localSheetId="0">'Weight sheet'!#REF!</definedName>
    <definedName name="Bat_Hull_Vol">'Trim'!#REF!</definedName>
    <definedName name="batt_roll_angle" localSheetId="0">'Weight sheet'!#REF!</definedName>
    <definedName name="batt_roll_angle">'Trim'!$C$34</definedName>
    <definedName name="Brass_Density" localSheetId="0">#REF!</definedName>
    <definedName name="Brass_Density">'Material'!$B$5</definedName>
    <definedName name="CG" localSheetId="0">#REF!</definedName>
    <definedName name="CG">#REF!</definedName>
    <definedName name="CG_2" localSheetId="0">'Weight sheet'!#REF!</definedName>
    <definedName name="CG_2">'Trim'!$C$24</definedName>
    <definedName name="comp_VCB" localSheetId="0">'Weight sheet'!#REF!</definedName>
    <definedName name="comp_VCB">'Trim'!$C$32</definedName>
    <definedName name="Complete_Fairing_Vol" localSheetId="0">'Weight sheet'!#REF!</definedName>
    <definedName name="Complete_Fairing_Vol">'Trim'!$C$44</definedName>
    <definedName name="CT_Sail_Vol" localSheetId="0">'Weight sheet'!#REF!</definedName>
    <definedName name="CT_Sail_Vol">'Trim'!$K$277</definedName>
    <definedName name="Dead_Oil_Vol" localSheetId="0">'Weight sheet'!#REF!</definedName>
    <definedName name="Dead_Oil_Vol">'Trim'!$R$20</definedName>
    <definedName name="Displaced_Volume" localSheetId="0">'Weight sheet'!#REF!</definedName>
    <definedName name="Displaced_Volume">'Trim'!$C$16</definedName>
    <definedName name="Endcap_Ext_Bladder_Vol" localSheetId="11">'[1]Trim'!#REF!</definedName>
    <definedName name="Endcap_Ext_Bladder_Vol" localSheetId="10">'[1]Trim'!#REF!</definedName>
    <definedName name="Endcap_Ext_Bladder_Vol" localSheetId="0">'Weight sheet'!#REF!</definedName>
    <definedName name="Endcap_Ext_Bladder_Vol">'Trim'!#REF!</definedName>
    <definedName name="Endcap_Vol" localSheetId="0">'Weight sheet'!#REF!</definedName>
    <definedName name="Endcap_Vol">'Trim'!$K$176</definedName>
    <definedName name="Fiberglass_Density" localSheetId="0">#REF!</definedName>
    <definedName name="Fiberglass_Density">'Material'!$B$8</definedName>
    <definedName name="Fwd_Hull_Vol" localSheetId="11">'[1]Trim'!#REF!</definedName>
    <definedName name="Fwd_Hull_Vol" localSheetId="10">'[1]Trim'!#REF!</definedName>
    <definedName name="Fwd_Hull_Vol" localSheetId="0">'Weight sheet'!#REF!</definedName>
    <definedName name="Fwd_Hull_Vol">'Trim'!#REF!</definedName>
    <definedName name="Internal_Oil_Vol" localSheetId="0">'Weight sheet'!#REF!</definedName>
    <definedName name="Internal_Oil_Vol">'Trim'!$L$20</definedName>
    <definedName name="lcg" localSheetId="0">#REF!</definedName>
    <definedName name="lcg">#REF!</definedName>
    <definedName name="lcg_2" localSheetId="0">'Weight sheet'!#REF!</definedName>
    <definedName name="lcg_2">'Trim'!$C$26</definedName>
    <definedName name="Lead_Density" localSheetId="0">#REF!</definedName>
    <definedName name="Lead_Density">'Material'!$B$4</definedName>
    <definedName name="Main_Bulkhead_Vol" localSheetId="11">'[1]Trim'!#REF!</definedName>
    <definedName name="Main_Bulkhead_Vol" localSheetId="10">'[1]Trim'!#REF!</definedName>
    <definedName name="Main_Bulkhead_Vol" localSheetId="0">'Weight sheet'!#REF!</definedName>
    <definedName name="Main_Bulkhead_Vol">'Trim'!#REF!</definedName>
    <definedName name="move_mom_VCG" localSheetId="11">'[1]Trim'!#REF!</definedName>
    <definedName name="move_mom_VCG" localSheetId="10">'[1]Trim'!#REF!</definedName>
    <definedName name="move_mom_VCG" localSheetId="0">'Weight sheet'!#REF!</definedName>
    <definedName name="move_mom_VCG">'Trim'!#REF!</definedName>
    <definedName name="Neoprene_Density" localSheetId="0">#REF!</definedName>
    <definedName name="Neoprene_Density">'Material'!$B$11</definedName>
    <definedName name="Oil_density" localSheetId="0">#REF!</definedName>
    <definedName name="Oil_density">'Material'!$B$12</definedName>
    <definedName name="Oil_Specific_Gravity_gm_cc" localSheetId="0">#REF!</definedName>
    <definedName name="Oil_Specific_Gravity_gm_cc">'Material'!$B$12</definedName>
    <definedName name="Oil_wt" localSheetId="0">#REF!</definedName>
    <definedName name="Oil_wt">#REF!</definedName>
    <definedName name="Oil_wt_2" localSheetId="0">'Weight sheet'!$E$117</definedName>
    <definedName name="Oil_wt_2">'Trim'!$C$170</definedName>
    <definedName name="pi">3.1415</definedName>
    <definedName name="Polypropylene_Density" localSheetId="0">#REF!</definedName>
    <definedName name="Polypropylene_Density">'Material'!$B$7</definedName>
    <definedName name="_xlnm.Print_Area" localSheetId="1">'Cal'!$A$1:$E$166</definedName>
    <definedName name="_xlnm.Print_Area" localSheetId="7">'Maint'!$A$1:$B$56</definedName>
    <definedName name="_xlnm.Print_Area" localSheetId="6">'Tank _ PS notes'!$A$1:$B$58</definedName>
    <definedName name="_xlnm.Print_Area" localSheetId="2">'Trim'!$A$1:$R$337</definedName>
    <definedName name="_xlnm.Print_Titles" localSheetId="0">'Weight sheet'!$1:$3</definedName>
    <definedName name="PVC_Density" localSheetId="0">#REF!</definedName>
    <definedName name="PVC_Density">'Material'!$B$10</definedName>
    <definedName name="rho" localSheetId="0">#REF!</definedName>
    <definedName name="rho">#REF!</definedName>
    <definedName name="rho_2" localSheetId="0">'Weight sheet'!#REF!</definedName>
    <definedName name="rho_2">'Trim'!$C$18</definedName>
    <definedName name="rho_fairing" localSheetId="0">#REF!</definedName>
    <definedName name="rho_fairing">#REF!</definedName>
    <definedName name="rho_fairing_2" localSheetId="11">'[1]Trim'!#REF!</definedName>
    <definedName name="rho_fairing_2" localSheetId="10">'[1]Trim'!#REF!</definedName>
    <definedName name="rho_fairing_2" localSheetId="0">'Weight sheet'!#REF!</definedName>
    <definedName name="rho_fairing_2">'Trim'!#REF!</definedName>
    <definedName name="Roll" localSheetId="0">#REF!</definedName>
    <definedName name="Roll">#REF!</definedName>
    <definedName name="Roll_2" localSheetId="0">'Weight sheet'!#REF!</definedName>
    <definedName name="Roll_2">'Trim'!$C$35</definedName>
    <definedName name="Roll_5" localSheetId="0">'Weight sheet'!#REF!</definedName>
    <definedName name="Roll_5">'Trim'!$C$35</definedName>
    <definedName name="solver_adj" localSheetId="2" hidden="1">'Trim'!$E$73</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hs1" localSheetId="2" hidden="1">'Trim'!$C$21</definedName>
    <definedName name="solver_lhs2" localSheetId="2" hidden="1">'Trim'!$C$21</definedName>
    <definedName name="solver_lin" localSheetId="2" hidden="1">2</definedName>
    <definedName name="solver_neg" localSheetId="2" hidden="1">2</definedName>
    <definedName name="solver_num" localSheetId="2" hidden="1">1</definedName>
    <definedName name="solver_nwt" localSheetId="2" hidden="1">1</definedName>
    <definedName name="solver_opt" localSheetId="2" hidden="1">'Trim'!$C$19</definedName>
    <definedName name="solver_pre" localSheetId="2" hidden="1">0.000001</definedName>
    <definedName name="solver_rel1" localSheetId="2" hidden="1">2</definedName>
    <definedName name="solver_rel2" localSheetId="2" hidden="1">3</definedName>
    <definedName name="solver_rhs1" localSheetId="2" hidden="1">'Trim'!$C$20</definedName>
    <definedName name="solver_rhs2" localSheetId="2" hidden="1">'Trim'!$C$20</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0</definedName>
    <definedName name="SS_Density" localSheetId="0">#REF!</definedName>
    <definedName name="SS_Density">'Material'!$B$6</definedName>
    <definedName name="stern">NA()</definedName>
    <definedName name="stern_2">NA()</definedName>
    <definedName name="stroke" localSheetId="0">#REF!</definedName>
    <definedName name="stroke">#REF!</definedName>
    <definedName name="stroke_2" localSheetId="0">'Weight sheet'!#REF!</definedName>
    <definedName name="stroke_2">'Trim'!$C$27</definedName>
    <definedName name="stroke_5" localSheetId="0">'Weight sheet'!#REF!</definedName>
    <definedName name="stroke_5">'Trim'!$C$26</definedName>
    <definedName name="Tot_mom_VCB" localSheetId="0">'Weight sheet'!#REF!</definedName>
    <definedName name="Tot_mom_VCB">'Trim'!$R$53</definedName>
    <definedName name="Tot_mom_VCG" localSheetId="0">'Weight sheet'!#REF!</definedName>
    <definedName name="Tot_mom_VCG">'Trim'!$Q$53</definedName>
    <definedName name="Total_Moment_LCB" localSheetId="0">'Weight sheet'!#REF!</definedName>
    <definedName name="Total_Moment_LCB">'Trim'!$N$53</definedName>
    <definedName name="Total_Moment_LCG" localSheetId="0">'Weight sheet'!#REF!</definedName>
    <definedName name="Total_Moment_LCG">'Trim'!$I$53</definedName>
    <definedName name="Total_Oil_Vol" localSheetId="0">'Weight sheet'!$E$118</definedName>
    <definedName name="Total_Oil_Vol">'Trim'!$C$171</definedName>
    <definedName name="total_scale_weight" localSheetId="0">'Weight sheet'!#REF!</definedName>
    <definedName name="total_scale_weight">'Trim'!$C$10</definedName>
    <definedName name="Total_Weight" localSheetId="0">'Weight sheet'!#REF!</definedName>
    <definedName name="Total_Weight">'Trim'!$F$53</definedName>
    <definedName name="Total_Weight_In_Air" localSheetId="0">'Weight sheet'!#REF!</definedName>
    <definedName name="Total_Weight_In_Air">'Trim'!$C$9</definedName>
    <definedName name="vcg" localSheetId="0">#REF!</definedName>
    <definedName name="vcg">#REF!</definedName>
    <definedName name="vcg_2" localSheetId="0">'Weight sheet'!#REF!</definedName>
    <definedName name="vcg_2">'Trim'!$C$33</definedName>
    <definedName name="Vehicle_roll" localSheetId="0">'Weight sheet'!#REF!</definedName>
    <definedName name="Vehicle_roll">'Trim'!$C$35</definedName>
    <definedName name="Wing_density" localSheetId="0">#REF!</definedName>
    <definedName name="Wing_density">'Material'!$B$13</definedName>
    <definedName name="Zinc_Density" localSheetId="0">#REF!</definedName>
    <definedName name="Zinc_Density">'Material'!$B$9</definedName>
  </definedNames>
  <calcPr fullCalcOnLoad="1" iterate="1" iterateCount="1000" iterateDelta="0.001"/>
</workbook>
</file>

<file path=xl/comments1.xml><?xml version="1.0" encoding="utf-8"?>
<comments xmlns="http://schemas.openxmlformats.org/spreadsheetml/2006/main">
  <authors>
    <author>rhughes</author>
    <author/>
    <author>dcarney</author>
    <author>santoroa</author>
    <author>Administrator</author>
  </authors>
  <commentList>
    <comment ref="E118" authorId="0">
      <text>
        <r>
          <rPr>
            <b/>
            <sz val="8"/>
            <rFont val="Tahoma"/>
            <family val="2"/>
          </rPr>
          <t>rhughes:</t>
        </r>
        <r>
          <rPr>
            <sz val="8"/>
            <rFont val="Tahoma"/>
            <family val="2"/>
          </rPr>
          <t xml:space="preserve">
Oil wt./.8229 for the Amsoil Synth. Oil</t>
        </r>
      </text>
    </comment>
    <comment ref="D118" authorId="0">
      <text>
        <r>
          <rPr>
            <b/>
            <sz val="8"/>
            <rFont val="Tahoma"/>
            <family val="2"/>
          </rPr>
          <t>rhughes:</t>
        </r>
        <r>
          <rPr>
            <sz val="8"/>
            <rFont val="Tahoma"/>
            <family val="2"/>
          </rPr>
          <t xml:space="preserve">
Oil wt./.8229 for the Amsoil Synth. Oil</t>
        </r>
      </text>
    </comment>
    <comment ref="D126" authorId="1">
      <text>
        <r>
          <rPr>
            <b/>
            <sz val="8"/>
            <color indexed="8"/>
            <rFont val="Nimbus Roman No9 L"/>
            <family val="1"/>
          </rPr>
          <t xml:space="preserve">mike johnson:
</t>
        </r>
        <r>
          <rPr>
            <sz val="8"/>
            <color indexed="8"/>
            <rFont val="Nimbus Roman No9 L"/>
            <family val="1"/>
          </rPr>
          <t>Variable oil removed from weight roll up.</t>
        </r>
      </text>
    </comment>
    <comment ref="B238" authorId="2">
      <text>
        <r>
          <rPr>
            <b/>
            <sz val="8"/>
            <rFont val="Tahoma"/>
            <family val="2"/>
          </rPr>
          <t>dcarney:</t>
        </r>
        <r>
          <rPr>
            <sz val="8"/>
            <rFont val="Tahoma"/>
            <family val="2"/>
          </rPr>
          <t xml:space="preserve">
All movable parts in the mass shifter except the battery.</t>
        </r>
      </text>
    </comment>
    <comment ref="H192" authorId="3">
      <text>
        <r>
          <rPr>
            <b/>
            <sz val="8"/>
            <rFont val="Tahoma"/>
            <family val="2"/>
          </rPr>
          <t>santoroa:</t>
        </r>
        <r>
          <rPr>
            <sz val="8"/>
            <rFont val="Tahoma"/>
            <family val="2"/>
          </rPr>
          <t xml:space="preserve">
No scale weight</t>
        </r>
      </text>
    </comment>
    <comment ref="H2" authorId="4">
      <text>
        <r>
          <rPr>
            <b/>
            <sz val="8"/>
            <rFont val="Tahoma"/>
            <family val="2"/>
          </rPr>
          <t>Administrator:</t>
        </r>
        <r>
          <rPr>
            <sz val="8"/>
            <rFont val="Tahoma"/>
            <family val="2"/>
          </rPr>
          <t xml:space="preserve">
Scale weight does not include the cover for the wetlab sensor</t>
        </r>
      </text>
    </comment>
    <comment ref="H28" authorId="4">
      <text>
        <r>
          <rPr>
            <b/>
            <sz val="8"/>
            <rFont val="Tahoma"/>
            <family val="2"/>
          </rPr>
          <t>Administrator:</t>
        </r>
        <r>
          <rPr>
            <sz val="8"/>
            <rFont val="Tahoma"/>
            <family val="2"/>
          </rPr>
          <t xml:space="preserve">
calculated, not weighed</t>
        </r>
      </text>
    </comment>
  </commentList>
</comments>
</file>

<file path=xl/comments10.xml><?xml version="1.0" encoding="utf-8"?>
<comments xmlns="http://schemas.openxmlformats.org/spreadsheetml/2006/main">
  <authors>
    <author/>
  </authors>
  <commentList>
    <comment ref="B13" authorId="0">
      <text>
        <r>
          <rPr>
            <b/>
            <sz val="8"/>
            <color indexed="8"/>
            <rFont val="Nimbus Roman No9 L"/>
            <family val="1"/>
          </rPr>
          <t xml:space="preserve">Jim Osse:
</t>
        </r>
        <r>
          <rPr>
            <sz val="8"/>
            <color indexed="8"/>
            <rFont val="Nimbus Roman No9 L"/>
            <family val="1"/>
          </rPr>
          <t>0.672 gm/cc per Lehman test on 5/28/02 on wing#23</t>
        </r>
      </text>
    </comment>
  </commentList>
</comments>
</file>

<file path=xl/comments3.xml><?xml version="1.0" encoding="utf-8"?>
<comments xmlns="http://schemas.openxmlformats.org/spreadsheetml/2006/main">
  <authors>
    <author/>
    <author>iRobot</author>
  </authors>
  <commentList>
    <comment ref="M2" authorId="0">
      <text>
        <r>
          <rPr>
            <b/>
            <sz val="8"/>
            <color indexed="8"/>
            <rFont val="Nimbus Roman No9 L"/>
            <family val="1"/>
          </rPr>
          <t xml:space="preserve">Fritz Stahr:07 may 2006
Made changes to make easier and more clear to use. Added Ballast sheet with connections to both Trim sheet and Cal sheet. Added Pressure Sensor cal sheet directly here with connections to Cal sheet. Added Maintenance sheet to keep track of during build changes. Modified the Trim page to accomodate noted changes in weight of sub-assemblies. Changed top of page to interact with Ballast sheet better and to make explicit note of changes in trim weight location to get good pitch and roll gain. Russ' notes below are a good basic guide to the original intent of the sheet, but should not be taken too literally.
Russ Light: (~2001?)
</t>
        </r>
        <r>
          <rPr>
            <sz val="8"/>
            <color indexed="8"/>
            <rFont val="Nimbus Roman No9 L"/>
            <family val="1"/>
          </rPr>
          <t xml:space="preserve">There are two primary goals in achieve with the spreadsheet: 
    1) Trimming which involves getting neutral bouyancy
   2) Balancing which involves achieving zero LCB-LCG separation
Trimming the glider amounts to changing the weight value for the forward fairing trim weight until the Net Buoyancy value goes to zero.  The Internal Oil Stroke must also be set for the desired percentage to achieve mission conditions.  Thre stroke value determines the nuetral point of the VBD system and thus determines how much displacement is available for thrust and surface manuever.  Of these two values the bouyancy required for the surface maneuver is the most important.  The density of the surface water layer determines how much displacement in the external bladder will be required to achieve the proper antenna mast position for GPS and data telemetry.  In cases of extream fresh water conditions as much as 650cc were required in the external bladder to achieve the proper surface position.  Select the stroke percentage to give sufficient displacement for the surface maneuver.  Adjust the forward fairing trim lead to zero the Net Buoyancy.
To achieve the proper balance the LCB-LCG difference value is made to be zero.  After achieving neutral buoyancy in the above procedure the center of gravity can be adjusted by changing the Pitch Mass Stroke percentage. The ideal value for this percentage is probably between 50-75%.  The total throw of the pitch mass shifter is approx 15cm.  Typical glider operations only require 1-3cm of movement to acheive normal glide slopes.  By biasing the neutral point towards the aft more shift is provided for the surface manuever.
</t>
        </r>
        <r>
          <rPr>
            <b/>
            <sz val="8"/>
            <color indexed="8"/>
            <rFont val="Nimbus Roman No9 L"/>
            <family val="1"/>
          </rPr>
          <t xml:space="preserve">FROM THE VMG USER'S GUIDE
</t>
        </r>
        <r>
          <rPr>
            <sz val="8"/>
            <color indexed="8"/>
            <rFont val="Nimbus Roman No9 L"/>
            <family val="1"/>
          </rPr>
          <t xml:space="preserve">10.0  Trimming Procedure
This section outlines how to manipulate, or more generally, in what order to manipulate the VMG trim sheet. There is a specific trim sheet for every glider, and its maintenance and upkeep are a necessary and time-consuming task, especially with changes to the VM hardware.
The goal is to set the VM Variable Buoyancy Device (VBD) for a given range of expected seawater density so that the limited range of buoyancy control is sufficient to perform its mission.  After the vehicle is trimmed for neutral buoyancy at the expected density, it is then necessary to set the vehicle longitudinal pitch trim so that it floats level, with zero pitch, with sufficient remaining control over its pitch to dive and climb.
The range of seawater density determines how precisely the VM must be trimmed. Density ranges greater than 0.7 practical salinity units (psu) may reduce the amount of thrust available during a dive to less than 200 grams.  Such a density range will require exact laboratory trimming to avoid using some of the VBD volume for achieving neutral trim.
The volume at the surface defines the minimum positive buoyancy and provides a starting point for the calculations.  An estimate of the surface density (at an average depth of 0.5 to 1.0 meter) must be available for this calculation.  
With all the trim sheet weights and positions entered with utmost accuracy, we’re ready to set the final trim for a given density range expected.  Adjustments are generally left to modifying the amount and location of external hull trim lead, which is that lead carried, or taped, to the inside of the bottom of the fairing.
First we’ll set the overall buoyancy trim, then deal with the longitudinal pitch trim. Cell names in Italics represent actual cells in the spreadsheet.
Set Overall Buoyancy Trim
1) Set the VBD Internal Oil Stroke to 5%.  
This represents the near maximum displaced volume, leaving 5% margin for trim errors and/or lighter than expected surface density.
2) Set Density to the expected surface density (e.g. 1.018)
3) Adjust the external trim lead to yield about 275 grams (+/- 10) grams of Net Buoyancy.  This is required to elevate the present cellular phone/GPS antenna design to the maximum degree above the water.  Future designs may take more or less: it is a function solely of the displaced volume of the antenna assembly. 
4) Now set the Density to the expected seawater density at the apogee depth (e.g. 1.024).  This is the density where the VM trim neutral point is defined.  
5) Using the goal seek function of Microsoft EXCEL, or the hunt and peck method, determine the VBD internal oil gage setting to achieve neutral buoyancy at apogee.  Force the Net Buoyancy value to zero by adjusting the value of the Internal Oil Stroke.  Record this value of neutral trim in the calibration sheet (specifically the A/D value of VBD Position)
6) Observe the maximum obtainable negative buoyancy by setting the Internal Oil Stroke to 95%.  This is the maximum thrust available during a dive.  This should exceed that required for the mission as determined by expected currents or round trip dive times.
If this maximum thrust is much more than is likely needed or desired, it might be wise to repeat the process, but leaving more positive buoyancy available for surfacing in lighter than expected surface water density (e.g. 10% or 15% versus 5%).  
Set Vehicle Longitudinal Pitch Trim
7) With the VBD set at the neutral trim point as determined in step #5, and the Pitch Mass Stroke set to 50%, play with the XCG position of the Trim Lead, Main Hull.  Verify that there is position in the hull to accommodate the lead; this can be done in the big AutoCAD assembly drawing, #49800.  It will probably be needed to place the trim lead in the most advantageous position in the fairing, and achieve the final pitch trim using the Pitch Mass Stroke, to achieve a zero Vehicle Pitch Angle.  As done in step 5, record the Pitch Mass Position A/D value on the calibration sheet.  
Note that these two numbers, which define the neutral buoyancy and neutral pitch trim, are initial estimates only. Their values will surely be modified in the field based upon dive performance data.
</t>
        </r>
      </text>
    </comment>
    <comment ref="C19" authorId="0">
      <text>
        <r>
          <rPr>
            <b/>
            <sz val="8"/>
            <color indexed="8"/>
            <rFont val="Nimbus Roman No9 L"/>
            <family val="1"/>
          </rPr>
          <t>Fritz (07May06):
Minimum value for surface manuever is 150 cc so test by setting to density to lightest possible (e.g., 1.018 for PS) and then put oil reservoir to 5% to be sure it can do it.</t>
        </r>
      </text>
    </comment>
    <comment ref="E20" authorId="0">
      <text>
        <r>
          <rPr>
            <sz val="8"/>
            <color indexed="8"/>
            <rFont val="Nimbus Roman No9 L"/>
            <family val="1"/>
          </rPr>
          <t xml:space="preserve">External Bladder Full = low AD = vehicle floats higher.
External Bladder Empty = high AD = vehicle sinks lower.
</t>
        </r>
      </text>
    </comment>
    <comment ref="B27" authorId="0">
      <text>
        <r>
          <rPr>
            <sz val="8"/>
            <color indexed="8"/>
            <rFont val="Nimbus Roman No9 L"/>
            <family val="1"/>
          </rPr>
          <t>Nominal is 70% so can pitch far forward during surface manuever, Max Stroke is 15.32 cm</t>
        </r>
      </text>
    </comment>
    <comment ref="E27" authorId="0">
      <text>
        <r>
          <rPr>
            <sz val="8"/>
            <color indexed="8"/>
            <rFont val="Nimbus Roman No9 L"/>
            <family val="1"/>
          </rPr>
          <t>Positive cm is aft = high AD.
Negative cm is fwd = low AD.</t>
        </r>
      </text>
    </comment>
    <comment ref="J38" authorId="0">
      <text>
        <r>
          <rPr>
            <b/>
            <sz val="8"/>
            <color indexed="8"/>
            <rFont val="Nimbus Roman No9 L"/>
            <family val="1"/>
          </rPr>
          <t xml:space="preserve">Fritz Stahr:
</t>
        </r>
        <r>
          <rPr>
            <sz val="8"/>
            <color indexed="8"/>
            <rFont val="Nimbus Roman No9 L"/>
            <family val="1"/>
          </rPr>
          <t>Anything inside the pressure hull is considered to displace no volume.</t>
        </r>
      </text>
    </comment>
    <comment ref="L38" authorId="0">
      <text>
        <r>
          <rPr>
            <b/>
            <sz val="8"/>
            <color indexed="8"/>
            <rFont val="Nimbus Roman No9 L"/>
            <family val="1"/>
          </rPr>
          <t xml:space="preserve">Russ Light:
</t>
        </r>
        <r>
          <rPr>
            <sz val="8"/>
            <color indexed="8"/>
            <rFont val="Nimbus Roman No9 L"/>
            <family val="1"/>
          </rPr>
          <t>In the case where the part is fabricated from a homogenous material the CG and CB are the same.  In this case you will find that the CB is taken directly from the CG cell.</t>
        </r>
      </text>
    </comment>
    <comment ref="J52" authorId="0">
      <text>
        <r>
          <rPr>
            <b/>
            <sz val="8"/>
            <color indexed="8"/>
            <rFont val="Nimbus Roman No9 L"/>
            <family val="1"/>
          </rPr>
          <t xml:space="preserve">Fritz Stahr:
</t>
        </r>
        <r>
          <rPr>
            <sz val="8"/>
            <color indexed="8"/>
            <rFont val="Nimbus Roman No9 L"/>
            <family val="1"/>
          </rPr>
          <t>set to make neutral observed in Port Susan show 0 net buoyancy</t>
        </r>
      </text>
    </comment>
    <comment ref="L52" authorId="0">
      <text>
        <r>
          <rPr>
            <b/>
            <sz val="8"/>
            <color indexed="8"/>
            <rFont val="Nimbus Roman No9 L"/>
            <family val="1"/>
          </rPr>
          <t xml:space="preserve">Fritz Stahr:
</t>
        </r>
        <r>
          <rPr>
            <sz val="8"/>
            <color indexed="8"/>
            <rFont val="Nimbus Roman No9 L"/>
            <family val="1"/>
          </rPr>
          <t>adjusted to make pitch center found in PS be zero</t>
        </r>
      </text>
    </comment>
    <comment ref="G62" authorId="0">
      <text>
        <r>
          <rPr>
            <sz val="8"/>
            <color indexed="8"/>
            <rFont val="Nimbus Roman No9 L"/>
            <family val="1"/>
          </rPr>
          <t>Fritz Stahr: 16may06
In orig trim sheets this changed from glider to glider and appeared to be calculated. Further, this # was also pasted into the xcg for the aft fairing. Replaced with Solidworks locations for xcg/b.</t>
        </r>
      </text>
    </comment>
    <comment ref="J62" authorId="0">
      <text>
        <r>
          <rPr>
            <b/>
            <sz val="8"/>
            <color indexed="8"/>
            <rFont val="Nimbus Roman No9 L"/>
            <family val="1"/>
          </rPr>
          <t xml:space="preserve">Russ Light:
</t>
        </r>
        <r>
          <rPr>
            <sz val="8"/>
            <color indexed="8"/>
            <rFont val="Nimbus Roman No9 L"/>
            <family val="1"/>
          </rPr>
          <t>Weighed fwd fairing (painted) with joint ring in air and in water:
Air Wt = 6603g
H20 Wt = 2595g
Diff = Vol = 4008cc
Using computed volumes of joint ring  fwd fairing volume is = 3686cc</t>
        </r>
      </text>
    </comment>
    <comment ref="G73" authorId="0">
      <text>
        <r>
          <rPr>
            <b/>
            <sz val="8"/>
            <color indexed="8"/>
            <rFont val="Nimbus Roman No9 L"/>
            <family val="1"/>
          </rPr>
          <t xml:space="preserve">Mike Johnson:
</t>
        </r>
        <r>
          <rPr>
            <sz val="8"/>
            <color indexed="8"/>
            <rFont val="Nimbus Roman No9 L"/>
            <family val="1"/>
          </rPr>
          <t xml:space="preserve">42.077" represents center of mass for lead attached dirrectly to pupa.  Lead is .377" further aft than lead taped to fairing
</t>
        </r>
      </text>
    </comment>
    <comment ref="G93" authorId="0">
      <text>
        <r>
          <rPr>
            <sz val="8"/>
            <color indexed="8"/>
            <rFont val="Nimbus Roman No9 L"/>
            <family val="1"/>
          </rPr>
          <t>Tom: 
MLW solidworks centroid-no parts included 8/8/2001: 54.15"
Jim: Orig ACAD estimate 35.20" total fairing; enter only for forward fairing
Fritz: trim sheets ahd been taking this from fwd fairing, I assume to represent the whole fairing, but now individual LCGs and LCBs</t>
        </r>
      </text>
    </comment>
    <comment ref="J95" authorId="0">
      <text>
        <r>
          <rPr>
            <b/>
            <sz val="8"/>
            <color indexed="8"/>
            <rFont val="Nimbus Roman No9 L"/>
            <family val="1"/>
          </rPr>
          <t xml:space="preserve">mike johnson:
</t>
        </r>
        <r>
          <rPr>
            <sz val="8"/>
            <color indexed="8"/>
            <rFont val="Nimbus Roman No9 L"/>
            <family val="1"/>
          </rPr>
          <t>Volume taken from Solidworks model 49838-A</t>
        </r>
      </text>
    </comment>
    <comment ref="J97" authorId="0">
      <text>
        <r>
          <rPr>
            <b/>
            <sz val="8"/>
            <color indexed="8"/>
            <rFont val="Nimbus Roman No9 L"/>
            <family val="1"/>
          </rPr>
          <t xml:space="preserve">mike johnson:
</t>
        </r>
        <r>
          <rPr>
            <sz val="8"/>
            <color indexed="8"/>
            <rFont val="Nimbus Roman No9 L"/>
            <family val="1"/>
          </rPr>
          <t>Volume taken from Solidworks model 49838-A</t>
        </r>
      </text>
    </comment>
    <comment ref="G108" authorId="0">
      <text>
        <r>
          <rPr>
            <b/>
            <sz val="8"/>
            <color indexed="8"/>
            <rFont val="Nimbus Roman No9 L"/>
            <family val="1"/>
          </rPr>
          <t>Mike Johnson:
1/29/2008
LCG computed from solidworks model.  Includes all components</t>
        </r>
      </text>
    </comment>
    <comment ref="J108" authorId="0">
      <text>
        <r>
          <rPr>
            <b/>
            <sz val="8"/>
            <color indexed="8"/>
            <rFont val="Nimbus Roman No9 L"/>
            <family val="1"/>
          </rPr>
          <t xml:space="preserve">mike johnson:
</t>
        </r>
        <r>
          <rPr>
            <sz val="8"/>
            <color indexed="8"/>
            <rFont val="Nimbus Roman No9 L"/>
            <family val="1"/>
          </rPr>
          <t xml:space="preserve">1/29/2008
Volume calculated with all components using solidworks models = 355.5
Keith's TTI model says 2969.1
</t>
        </r>
      </text>
    </comment>
    <comment ref="L108" authorId="0">
      <text>
        <r>
          <rPr>
            <b/>
            <sz val="8"/>
            <color indexed="8"/>
            <rFont val="Nimbus Roman No9 L"/>
            <family val="1"/>
          </rPr>
          <t xml:space="preserve">mike johnson:
</t>
        </r>
        <r>
          <rPr>
            <sz val="8"/>
            <color indexed="8"/>
            <rFont val="Nimbus Roman No9 L"/>
            <family val="1"/>
          </rPr>
          <t xml:space="preserve">1/29/2008
Assume same as LCG </t>
        </r>
      </text>
    </comment>
    <comment ref="G114" authorId="0">
      <text>
        <r>
          <rPr>
            <b/>
            <sz val="8"/>
            <color indexed="8"/>
            <rFont val="Nimbus Roman No9 L"/>
            <family val="1"/>
          </rPr>
          <t xml:space="preserve">mike johnson:
</t>
        </r>
        <r>
          <rPr>
            <sz val="8"/>
            <color indexed="8"/>
            <rFont val="Nimbus Roman No9 L"/>
            <family val="1"/>
          </rPr>
          <t>Distance for dual O2 aft fairing</t>
        </r>
      </text>
    </comment>
    <comment ref="J114" authorId="0">
      <text>
        <r>
          <rPr>
            <b/>
            <sz val="8"/>
            <color indexed="8"/>
            <rFont val="Nimbus Roman No9 L"/>
            <family val="1"/>
          </rPr>
          <t xml:space="preserve">mike johnson:
22 Jan 2008
Optode w/o cable = 81.1 cc
Optode w/ potted cable =  105.22 cc
</t>
        </r>
        <r>
          <rPr>
            <sz val="8"/>
            <color indexed="8"/>
            <rFont val="Nimbus Roman No9 L"/>
            <family val="1"/>
          </rPr>
          <t>Volume from solidworks part models</t>
        </r>
      </text>
    </comment>
    <comment ref="G119" authorId="0">
      <text>
        <r>
          <rPr>
            <b/>
            <sz val="8"/>
            <color indexed="8"/>
            <rFont val="Nimbus Roman No9 L"/>
            <family val="1"/>
          </rPr>
          <t xml:space="preserve">mike johnson:
</t>
        </r>
        <r>
          <rPr>
            <sz val="8"/>
            <color indexed="8"/>
            <rFont val="Nimbus Roman No9 L"/>
            <family val="1"/>
          </rPr>
          <t>Distance for single O2 aft fairing</t>
        </r>
      </text>
    </comment>
    <comment ref="J119" authorId="0">
      <text>
        <r>
          <rPr>
            <b/>
            <sz val="8"/>
            <color indexed="8"/>
            <rFont val="Nimbus Roman No9 L"/>
            <family val="1"/>
          </rPr>
          <t xml:space="preserve">mike johnson:
18 April 2008 
SBE43f = 164.47
</t>
        </r>
        <r>
          <rPr>
            <sz val="8"/>
            <color indexed="8"/>
            <rFont val="Nimbus Roman No9 L"/>
            <family val="1"/>
          </rPr>
          <t>Volume from solidworks models of sensor, plenum, and (2x) O2 clamps</t>
        </r>
      </text>
    </comment>
    <comment ref="J120" authorId="0">
      <text>
        <r>
          <rPr>
            <b/>
            <sz val="8"/>
            <color indexed="8"/>
            <rFont val="Nimbus Roman No9 L"/>
            <family val="1"/>
          </rPr>
          <t xml:space="preserve">mike johnson:
22 Jan 2008
24" IE55 cable = 29cc
</t>
        </r>
        <r>
          <rPr>
            <sz val="8"/>
            <color indexed="8"/>
            <rFont val="Nimbus Roman No9 L"/>
            <family val="1"/>
          </rPr>
          <t>Volume from solidwork part model</t>
        </r>
      </text>
    </comment>
    <comment ref="G126" authorId="0">
      <text>
        <r>
          <rPr>
            <b/>
            <sz val="8"/>
            <color indexed="8"/>
            <rFont val="Nimbus Roman No9 L"/>
            <family val="1"/>
          </rPr>
          <t xml:space="preserve">mike johnson:
</t>
        </r>
        <r>
          <rPr>
            <sz val="8"/>
            <color indexed="8"/>
            <rFont val="Nimbus Roman No9 L"/>
            <family val="1"/>
          </rPr>
          <t>Distance for PAR sensor</t>
        </r>
      </text>
    </comment>
    <comment ref="J126" authorId="0">
      <text>
        <r>
          <rPr>
            <b/>
            <sz val="8"/>
            <color indexed="8"/>
            <rFont val="Nimbus Roman No9 L"/>
            <family val="1"/>
          </rPr>
          <t xml:space="preserve">Mike Johnson
22 Jan 2008
PAR sensor = 303 cc
PAR clamp = 24.49 cc
PAR cable = 29 cc
Total vol = 357.32
</t>
        </r>
        <r>
          <rPr>
            <sz val="8"/>
            <color indexed="8"/>
            <rFont val="Nimbus Roman No9 L"/>
            <family val="1"/>
          </rPr>
          <t>Volume from solidworks part models of PAR sensor, clamp, and cable</t>
        </r>
      </text>
    </comment>
    <comment ref="G136" authorId="0">
      <text>
        <r>
          <rPr>
            <b/>
            <sz val="8"/>
            <color indexed="8"/>
            <rFont val="Nimbus Roman No9 L"/>
            <family val="1"/>
          </rPr>
          <t xml:space="preserve">mike johnson:
</t>
        </r>
        <r>
          <rPr>
            <sz val="8"/>
            <color indexed="8"/>
            <rFont val="Nimbus Roman No9 L"/>
            <family val="1"/>
          </rPr>
          <t>Distance for single WL aft fairing</t>
        </r>
      </text>
    </comment>
    <comment ref="J136" authorId="0">
      <text>
        <r>
          <rPr>
            <b/>
            <sz val="8"/>
            <color indexed="8"/>
            <rFont val="Nimbus Roman No9 L"/>
            <family val="1"/>
          </rPr>
          <t xml:space="preserve">Mike Johnson
22 Jan 2008
BB2F = 178.8cc
</t>
        </r>
        <r>
          <rPr>
            <sz val="8"/>
            <color indexed="8"/>
            <rFont val="Nimbus Roman No9 L"/>
            <family val="1"/>
          </rPr>
          <t>Volume from solidworks part models of WL BB2F and (2x)
sensor clamps</t>
        </r>
      </text>
    </comment>
    <comment ref="G142" authorId="0">
      <text>
        <r>
          <rPr>
            <b/>
            <sz val="8"/>
            <color indexed="8"/>
            <rFont val="Nimbus Roman No9 L"/>
            <family val="1"/>
          </rPr>
          <t xml:space="preserve">mike johnson:
</t>
        </r>
        <r>
          <rPr>
            <sz val="8"/>
            <color indexed="8"/>
            <rFont val="Nimbus Roman No9 L"/>
            <family val="1"/>
          </rPr>
          <t>Distance for wetlab used with a PAR senasor</t>
        </r>
      </text>
    </comment>
    <comment ref="J142" authorId="0">
      <text>
        <r>
          <rPr>
            <sz val="10"/>
            <rFont val="Arial"/>
            <family val="0"/>
          </rPr>
          <t xml:space="preserve">
</t>
        </r>
        <r>
          <rPr>
            <b/>
            <sz val="8"/>
            <color indexed="8"/>
            <rFont val="Nimbus Roman No9 L"/>
            <family val="1"/>
          </rPr>
          <t xml:space="preserve">Mike Johnson
22 Jan 2008
BBFL2VMT  = 209.3 cc
</t>
        </r>
        <r>
          <rPr>
            <sz val="8"/>
            <color indexed="8"/>
            <rFont val="Nimbus Roman No9 L"/>
            <family val="1"/>
          </rPr>
          <t xml:space="preserve">Volume from solidworks part models of WL vmg and (2x)
sensor clamps
</t>
        </r>
        <r>
          <rPr>
            <b/>
            <sz val="8"/>
            <color indexed="8"/>
            <rFont val="Nimbus Roman No9 L"/>
            <family val="1"/>
          </rPr>
          <t xml:space="preserve">BBFL2VMT w/Sensor mount for PAR sensor configuration =  237.64 cc
</t>
        </r>
        <r>
          <rPr>
            <sz val="8"/>
            <color indexed="8"/>
            <rFont val="Nimbus Roman No9 L"/>
            <family val="1"/>
          </rPr>
          <t>Volume from solidworks part models of WL vmt and sensor clamp</t>
        </r>
      </text>
    </comment>
    <comment ref="J155" authorId="0">
      <text>
        <r>
          <rPr>
            <b/>
            <sz val="8"/>
            <color indexed="8"/>
            <rFont val="Nimbus Roman No9 L"/>
            <family val="1"/>
          </rPr>
          <t xml:space="preserve">mike johnson:
</t>
        </r>
        <r>
          <rPr>
            <sz val="8"/>
            <color indexed="8"/>
            <rFont val="Nimbus Roman No9 L"/>
            <family val="1"/>
          </rPr>
          <t>Calculated from OEM specs</t>
        </r>
      </text>
    </comment>
    <comment ref="C174" authorId="0">
      <text>
        <r>
          <rPr>
            <b/>
            <sz val="8"/>
            <color indexed="8"/>
            <rFont val="Nimbus Roman No9 L"/>
            <family val="1"/>
          </rPr>
          <t xml:space="preserve">mike johnson:
</t>
        </r>
        <r>
          <rPr>
            <sz val="8"/>
            <color indexed="8"/>
            <rFont val="Nimbus Roman No9 L"/>
            <family val="1"/>
          </rPr>
          <t>Variable oil removed from weight roll up.</t>
        </r>
      </text>
    </comment>
    <comment ref="J176" authorId="0">
      <text>
        <r>
          <rPr>
            <b/>
            <sz val="8"/>
            <color indexed="8"/>
            <rFont val="Nimbus Roman No9 L"/>
            <family val="1"/>
          </rPr>
          <t xml:space="preserve">mike johnson:
</t>
        </r>
        <r>
          <rPr>
            <sz val="8"/>
            <color indexed="8"/>
            <rFont val="Nimbus Roman No9 L"/>
            <family val="1"/>
          </rPr>
          <t>Volume taken from Solidworks model 49815-F.
Internal features / thru holes removed to create a solid part.</t>
        </r>
      </text>
    </comment>
    <comment ref="F202" authorId="0">
      <text>
        <r>
          <rPr>
            <sz val="8"/>
            <color indexed="8"/>
            <rFont val="Nimbus Roman No9 L"/>
            <family val="1"/>
          </rPr>
          <t>Includes Oil</t>
        </r>
      </text>
    </comment>
    <comment ref="J202" authorId="0">
      <text>
        <r>
          <rPr>
            <b/>
            <sz val="8"/>
            <color indexed="8"/>
            <rFont val="Nimbus Roman No9 L"/>
            <family val="1"/>
          </rPr>
          <t xml:space="preserve">Jim Osse:
</t>
        </r>
        <r>
          <rPr>
            <sz val="8"/>
            <color indexed="8"/>
            <rFont val="Nimbus Roman No9 L"/>
            <family val="1"/>
          </rPr>
          <t xml:space="preserve">incl vol of bladder at spec grav of 1.0
</t>
        </r>
      </text>
    </comment>
    <comment ref="J282" authorId="0">
      <text>
        <r>
          <rPr>
            <b/>
            <sz val="8"/>
            <color indexed="8"/>
            <rFont val="Nimbus Roman No9 L"/>
            <family val="1"/>
          </rPr>
          <t xml:space="preserve">Fritz Stahr:
</t>
        </r>
        <r>
          <rPr>
            <sz val="8"/>
            <color indexed="8"/>
            <rFont val="Nimbus Roman No9 L"/>
            <family val="1"/>
          </rPr>
          <t>Anything inside the pressure hull is considered to displace no volume.</t>
        </r>
      </text>
    </comment>
    <comment ref="L282" authorId="0">
      <text>
        <r>
          <rPr>
            <b/>
            <sz val="8"/>
            <color indexed="8"/>
            <rFont val="Nimbus Roman No9 L"/>
            <family val="1"/>
          </rPr>
          <t xml:space="preserve">Russ Light:
</t>
        </r>
        <r>
          <rPr>
            <sz val="8"/>
            <color indexed="8"/>
            <rFont val="Nimbus Roman No9 L"/>
            <family val="1"/>
          </rPr>
          <t>In the case where the part is fabricated from a homogenous material the CG and CB are the same.  In this case you will find that the CB is taken directly from the CG cell.</t>
        </r>
      </text>
    </comment>
    <comment ref="H306" authorId="0">
      <text>
        <r>
          <rPr>
            <b/>
            <sz val="8"/>
            <color indexed="8"/>
            <rFont val="Nimbus Roman No9 L"/>
            <family val="1"/>
          </rPr>
          <t xml:space="preserve">mike johnson:
</t>
        </r>
        <r>
          <rPr>
            <sz val="8"/>
            <color indexed="8"/>
            <rFont val="Nimbus Roman No9 L"/>
            <family val="1"/>
          </rPr>
          <t>Orig and Extended battery pack have same LCG</t>
        </r>
      </text>
    </comment>
    <comment ref="B20" authorId="0">
      <text>
        <r>
          <rPr>
            <b/>
            <sz val="8"/>
            <color indexed="8"/>
            <rFont val="Nimbus Roman No9 L"/>
            <family val="1"/>
          </rPr>
          <t xml:space="preserve">Russ Light:
</t>
        </r>
        <r>
          <rPr>
            <sz val="8"/>
            <color indexed="8"/>
            <rFont val="Nimbus Roman No9 L"/>
            <family val="1"/>
          </rPr>
          <t>The percentage of oil in the internal bladder.  100% stroke means the internal bladder is full.
Since the spreadsheet is designed to be adjusted until neutral buoyancy is achieved this value is critical.  The user must weigh the issues of how much positive buoyancy is required at the surface for surface maneuver based on surface water density.  For fresh surface water conditions this can result in a lack of thrust range.  Very fresh water conditions found during Puget Sound testing in Possession Sound during the spring/summer required surface buoyance values from 600-650 cc.
In general the stoke is biased above 50% so that there is sufficient reserve for achieving enough positive buoyancy on the surface.</t>
        </r>
      </text>
    </comment>
    <comment ref="C18" authorId="0">
      <text>
        <r>
          <rPr>
            <sz val="8"/>
            <color indexed="8"/>
            <rFont val="Nimbus Roman No9 L"/>
            <family val="1"/>
          </rPr>
          <t xml:space="preserve">This should be either measured or predicted denstiy the density of water the glider will encounter, e.g., OSB tank, PS surface, PS deep, WA coast deep.
 </t>
        </r>
      </text>
    </comment>
    <comment ref="F50" authorId="0">
      <text>
        <r>
          <rPr>
            <b/>
            <sz val="8"/>
            <color indexed="8"/>
            <rFont val="Nimbus Roman No9 L"/>
            <family val="1"/>
          </rPr>
          <t xml:space="preserve">Fritz Stahr:
</t>
        </r>
        <r>
          <rPr>
            <sz val="8"/>
            <color indexed="8"/>
            <rFont val="Nimbus Roman No9 L"/>
            <family val="1"/>
          </rPr>
          <t>determined by original all-up dry weight difference</t>
        </r>
      </text>
    </comment>
    <comment ref="G50" authorId="0">
      <text>
        <r>
          <rPr>
            <b/>
            <sz val="8"/>
            <color indexed="8"/>
            <rFont val="Nimbus Roman No9 L"/>
            <family val="1"/>
          </rPr>
          <t xml:space="preserve">Fritz Stahr:
</t>
        </r>
        <r>
          <rPr>
            <sz val="8"/>
            <color indexed="8"/>
            <rFont val="Nimbus Roman No9 L"/>
            <family val="1"/>
          </rPr>
          <t>adjusted to make pitch stroke for tank or regression work</t>
        </r>
      </text>
    </comment>
    <comment ref="F52" authorId="0">
      <text>
        <r>
          <rPr>
            <b/>
            <sz val="8"/>
            <color indexed="8"/>
            <rFont val="Nimbus Roman No9 L"/>
            <family val="1"/>
          </rPr>
          <t xml:space="preserve">Fritz Stahr:
</t>
        </r>
        <r>
          <rPr>
            <sz val="8"/>
            <color indexed="8"/>
            <rFont val="Nimbus Roman No9 L"/>
            <family val="1"/>
          </rPr>
          <t>determined by original all-up dry weight difference</t>
        </r>
      </text>
    </comment>
    <comment ref="G52" authorId="0">
      <text>
        <r>
          <rPr>
            <b/>
            <sz val="8"/>
            <color indexed="8"/>
            <rFont val="Nimbus Roman No9 L"/>
            <family val="1"/>
          </rPr>
          <t xml:space="preserve">Fritz Stahr:
</t>
        </r>
        <r>
          <rPr>
            <sz val="8"/>
            <color indexed="8"/>
            <rFont val="Nimbus Roman No9 L"/>
            <family val="1"/>
          </rPr>
          <t>adjusted to make pitch stroke for tank or regression work</t>
        </r>
      </text>
    </comment>
    <comment ref="N18" authorId="1">
      <text>
        <r>
          <rPr>
            <b/>
            <sz val="8"/>
            <rFont val="Tahoma"/>
            <family val="2"/>
          </rPr>
          <t>iRobot:</t>
        </r>
        <r>
          <rPr>
            <sz val="8"/>
            <rFont val="Tahoma"/>
            <family val="2"/>
          </rPr>
          <t xml:space="preserve">
For the buttons to work you need to enable the following:
Excel 2003 -
1. Select Tools, Addins and select Analysis ToolPak, Analysis ToolPak-VBA, and Solver. Click Ok to close Addins.
2. Select Tools, Macro, Visual Basic Editor. When it opens select Tools,References and select Solver. Click Ok then close the Editor.
Button should now work.
Excel 2007 -
1. Click on the round office button on the top left.
2. Click on "Excel Options" on the bottom
3. Under Popular, make sure "Show Developer Tab in ribbon" is  checked.
4. Under Add Ins, at the bottom pulldown  "Manage:" select "Excel Add-ins" and click "GO"
5.  Make sure the following are checked:
     - Analysis Tool Pak
      - Analysis Tool Pak -VBA
      - Solver Add-in
6. Click Ok
Close Excel and reopen.
7. On the main tabs select "Developer" and click on the first item "Visual Basic"
8. On the top menues select "Tools" then "References"
9. Make sure that "SOLVER" is checked and click "Ok"
10. Close the "Visual Basic" Window.
11. On the Developer Tab select "Macro Security" and change the  the setting to Enable all macros
Button should now work!
 </t>
        </r>
      </text>
    </comment>
    <comment ref="G131" authorId="0">
      <text>
        <r>
          <rPr>
            <b/>
            <sz val="8"/>
            <color indexed="8"/>
            <rFont val="Nimbus Roman No9 L"/>
            <family val="1"/>
          </rPr>
          <t xml:space="preserve">mike johnson:
</t>
        </r>
        <r>
          <rPr>
            <sz val="8"/>
            <color indexed="8"/>
            <rFont val="Nimbus Roman No9 L"/>
            <family val="1"/>
          </rPr>
          <t>Distance for PAR sensor</t>
        </r>
      </text>
    </comment>
    <comment ref="J131" authorId="0">
      <text>
        <r>
          <rPr>
            <b/>
            <sz val="8"/>
            <color indexed="8"/>
            <rFont val="Nimbus Roman No9 L"/>
            <family val="1"/>
          </rPr>
          <t>Jennie Mowatt
9 Mar 10
cable 10.5 cc
hydrophone 137 cc</t>
        </r>
      </text>
    </comment>
  </commentList>
</comments>
</file>

<file path=xl/sharedStrings.xml><?xml version="1.0" encoding="utf-8"?>
<sst xmlns="http://schemas.openxmlformats.org/spreadsheetml/2006/main" count="1800" uniqueCount="994">
  <si>
    <t>Antenna Assembly GPSI (Shoe, mast, antenna, clamp, heat shrink, comm cable, dummy plug, dummy plug line, zip ties)</t>
  </si>
  <si>
    <t>Antenna SN:</t>
  </si>
  <si>
    <t>Aanderaa Optode SN:</t>
  </si>
  <si>
    <t>O2 Sensor Assy. (O2 sensor, Plenum, (2x) 6-32 x 5/8 SHCS - plenum to sensor, O2 bracket, (2x) 8-32 x 5/8 FHMS - bracket to aft fairing, (2x) SS hose clamp)</t>
  </si>
  <si>
    <t>SBE 43f SN:</t>
  </si>
  <si>
    <t>Assy., WET Labs Optical - forward hole</t>
  </si>
  <si>
    <t>WET Labs SN:</t>
  </si>
  <si>
    <t>Assy., WET Labs Optical - aft hole</t>
  </si>
  <si>
    <t>Position F (WL-3):  IE55 dummy plug</t>
  </si>
  <si>
    <r>
      <t>Tubing, 1/4 DIA x 8"</t>
    </r>
    <r>
      <rPr>
        <b/>
        <sz val="12"/>
        <color indexed="10"/>
        <rFont val="Arial"/>
        <family val="2"/>
      </rPr>
      <t xml:space="preserve"> (Cut 8.25")</t>
    </r>
  </si>
  <si>
    <t>Calibration Sheet for Seaglider</t>
  </si>
  <si>
    <t>Polaris Calibration Date</t>
  </si>
  <si>
    <t>Port Susan Density = 1.0233 JSE 11/13/09</t>
  </si>
  <si>
    <t>Due to FW Len using 1.0223 JSE 12/3/09</t>
  </si>
  <si>
    <t>Aanderaa coefficients</t>
  </si>
  <si>
    <t>optode_FoilCoefA1</t>
  </si>
  <si>
    <t>optode_FoilCoefA2</t>
  </si>
  <si>
    <t>optode_FoilCoefA3</t>
  </si>
  <si>
    <t>optode_FoilCoefA4</t>
  </si>
  <si>
    <t>optode_FoilCoefA5</t>
  </si>
  <si>
    <t>optode_FoilCoefA6</t>
  </si>
  <si>
    <t>optode_FoilCoefA7</t>
  </si>
  <si>
    <t>optode_FoilCoefA8</t>
  </si>
  <si>
    <t>optode_FoilCoefA9</t>
  </si>
  <si>
    <t>SIM Chip SN:</t>
  </si>
  <si>
    <t>RF Switch SN:</t>
  </si>
  <si>
    <t>Start internal Pressure</t>
  </si>
  <si>
    <t>End internal pressure</t>
  </si>
  <si>
    <t>Compass PCB SN:</t>
  </si>
  <si>
    <t>% pump parameters</t>
  </si>
  <si>
    <t>pump_rate_intercept</t>
  </si>
  <si>
    <t>pump_rate_slope</t>
  </si>
  <si>
    <t>pump_power_intercept</t>
  </si>
  <si>
    <t>pump_power_slope</t>
  </si>
  <si>
    <t>% CT sensors cal constants</t>
  </si>
  <si>
    <t>calibcomm</t>
  </si>
  <si>
    <t>% SN and cal date</t>
  </si>
  <si>
    <t>t_g</t>
  </si>
  <si>
    <t>t_h</t>
  </si>
  <si>
    <t>t_i</t>
  </si>
  <si>
    <t>t_j</t>
  </si>
  <si>
    <t>c_g</t>
  </si>
  <si>
    <t>c_h</t>
  </si>
  <si>
    <t>c_i</t>
  </si>
  <si>
    <t>c_j</t>
  </si>
  <si>
    <t>cpcor</t>
  </si>
  <si>
    <t>ctcor</t>
  </si>
  <si>
    <t>sbe_cond_freq_min</t>
  </si>
  <si>
    <t>% kHz, from cal for 0 salinity</t>
  </si>
  <si>
    <t>"(pressure test above components w/ bulkhead and pressure sensor assy)</t>
  </si>
  <si>
    <t>Ref Weight</t>
  </si>
  <si>
    <t>(14x) Clips, Rib</t>
  </si>
  <si>
    <t>4199121 / 4199122</t>
  </si>
  <si>
    <t>55215 / 55217</t>
  </si>
  <si>
    <t>(4x) 4-40 x 3/8 SHCS + #4 x 1/8L stand off + #4LW</t>
  </si>
  <si>
    <t>4199126 / 4199146 /19928</t>
  </si>
  <si>
    <t>? / 55225</t>
  </si>
  <si>
    <t>4209126 / 4199125</t>
  </si>
  <si>
    <t>4199080 / 4205772</t>
  </si>
  <si>
    <t>52443 / 52434</t>
  </si>
  <si>
    <t>4199119 / 4199122</t>
  </si>
  <si>
    <t>FITTING, TUBE, MALE - CONNECTOR, 1/4" OD, 7/16-20 SAE/MS, SS</t>
  </si>
  <si>
    <t>23344</t>
  </si>
  <si>
    <t>11H010519</t>
  </si>
  <si>
    <t>11785436</t>
  </si>
  <si>
    <t>214</t>
  </si>
  <si>
    <t>1947</t>
  </si>
  <si>
    <t>707XM0</t>
  </si>
  <si>
    <t>300224010848200</t>
  </si>
  <si>
    <t>237</t>
  </si>
  <si>
    <t>0900045</t>
  </si>
  <si>
    <t>K889</t>
  </si>
  <si>
    <t>9/B</t>
  </si>
  <si>
    <t>From Dartnouth Regression 12/9/09</t>
  </si>
  <si>
    <t>4199368 / 4198939 / 4199123</t>
  </si>
  <si>
    <t>4199369 / 4198939 / 4199123</t>
  </si>
  <si>
    <t>4199133 / 4198939 / 4199123</t>
  </si>
  <si>
    <t>4199344 / 4199124</t>
  </si>
  <si>
    <t>4199409 / 4199124</t>
  </si>
  <si>
    <t>4146090 / 4199122</t>
  </si>
  <si>
    <t>4134111 / 4199341</t>
  </si>
  <si>
    <t>4199379 / 4199036</t>
  </si>
  <si>
    <t>4199127 / 4199134</t>
  </si>
  <si>
    <t>55305 / 57690</t>
  </si>
  <si>
    <t>4199420 / 4205793</t>
  </si>
  <si>
    <t>4199126 / 19928</t>
  </si>
  <si>
    <t>55228 / 55282</t>
  </si>
  <si>
    <t>iRobot Part #</t>
  </si>
  <si>
    <t>Mass Shifter Stability Rod Assy w/ Hard Stop ("the stinger") &amp; Screw</t>
  </si>
  <si>
    <t>Assy., WET Labs Optical - BBFL2VMT (Forward)</t>
  </si>
  <si>
    <t>Assy., WET Labs Optical - BBFL2VMT (Aft)</t>
  </si>
  <si>
    <t>%optode_FoilCoefB3</t>
  </si>
  <si>
    <t>%optode_FoilCoefB4</t>
  </si>
  <si>
    <t>%optode_FoilCoefB5</t>
  </si>
  <si>
    <t>%optode_FoilCoefB6</t>
  </si>
  <si>
    <t>SBE</t>
  </si>
  <si>
    <t>Dissolved Oxygen Sensor - Seabird</t>
  </si>
  <si>
    <t>Dissolved Oxygen Sensor - Aanderaa</t>
  </si>
  <si>
    <t>Aa</t>
  </si>
  <si>
    <t>optode</t>
  </si>
  <si>
    <t>Wetlab</t>
  </si>
  <si>
    <t>%comm_oxy_type</t>
  </si>
  <si>
    <t>%calibcomm_oxygen</t>
  </si>
  <si>
    <t>00/00/0000</t>
  </si>
  <si>
    <t>ES-141</t>
  </si>
  <si>
    <t>61</t>
  </si>
  <si>
    <t>1523727</t>
  </si>
  <si>
    <t>91860017</t>
  </si>
  <si>
    <t>0134</t>
  </si>
  <si>
    <t>0900044</t>
  </si>
  <si>
    <t>253664</t>
  </si>
  <si>
    <t>92450013</t>
  </si>
  <si>
    <t>2382567</t>
  </si>
  <si>
    <t>2585</t>
  </si>
  <si>
    <t>removed at dock 9/8</t>
  </si>
  <si>
    <t>Amp of pitch system during Port Susan dives</t>
  </si>
  <si>
    <t>Burn in time (min):</t>
  </si>
  <si>
    <t>Amp @ start of burn in (mA):</t>
  </si>
  <si>
    <t>Amp @ end of burn in (mA):</t>
  </si>
  <si>
    <t>Amp w/main pump and oil (no load on bench) (mA):</t>
  </si>
  <si>
    <t>Amp w/micro pump (mA):</t>
  </si>
  <si>
    <t>Amp w/gear block assy. (mA):</t>
  </si>
  <si>
    <r>
      <t xml:space="preserve">Tubing, 1/4 DIA x 9.625" </t>
    </r>
    <r>
      <rPr>
        <b/>
        <sz val="12"/>
        <color indexed="10"/>
        <rFont val="Arial"/>
        <family val="2"/>
      </rPr>
      <t>(Cut 9.75")</t>
    </r>
  </si>
  <si>
    <t>Leduc pump SN:</t>
  </si>
  <si>
    <r>
      <t xml:space="preserve">Tubing, 1/8 Dia. X 10.5" </t>
    </r>
    <r>
      <rPr>
        <b/>
        <sz val="12"/>
        <color indexed="10"/>
        <rFont val="Arial"/>
        <family val="2"/>
      </rPr>
      <t>(Cut to 8.875")</t>
    </r>
  </si>
  <si>
    <t>Micropump SN:</t>
  </si>
  <si>
    <t>(4x) 6-32 x 3/8 SHCS +#6 LW, standoff to cylinder</t>
  </si>
  <si>
    <t>CT sail SN:</t>
  </si>
  <si>
    <t>Pressure sensor SN:</t>
  </si>
  <si>
    <t>Main board SN:</t>
  </si>
  <si>
    <t>TT8 SN:</t>
  </si>
  <si>
    <t>CF8V2 SN:</t>
  </si>
  <si>
    <t>Flash Card SN:</t>
  </si>
  <si>
    <t>GPS SN:</t>
  </si>
  <si>
    <t>DC-DC converter SN:</t>
  </si>
  <si>
    <t>Acoustic amin board SN:</t>
  </si>
  <si>
    <t>Acoustic sub board SN:</t>
  </si>
  <si>
    <t>Modem IMEI:</t>
  </si>
  <si>
    <t>Battery SN:</t>
  </si>
  <si>
    <t>optode_FoilCoefA10</t>
  </si>
  <si>
    <t>optode_FoilCoefA11</t>
  </si>
  <si>
    <t>optode_FoilCoefA12</t>
  </si>
  <si>
    <t>optode_FoilCoefA13</t>
  </si>
  <si>
    <t>optode_FoilCoefB1</t>
  </si>
  <si>
    <t>optode_FoilCoefB2</t>
  </si>
  <si>
    <t>optode_FoilCoefB3</t>
  </si>
  <si>
    <t>optode_FoilCoefB4</t>
  </si>
  <si>
    <t>optode_FoilCoefB5</t>
  </si>
  <si>
    <t>optode_FoilCoefB6</t>
  </si>
  <si>
    <t>%optode_FoilCoefA1</t>
  </si>
  <si>
    <t>Compass Module SN:</t>
  </si>
  <si>
    <t>(pressure test above components w/ bulkhead &amp; pressure sensor assy)</t>
  </si>
  <si>
    <t>Total Moveable Weight:</t>
  </si>
  <si>
    <t>Battery Enclosure (with Brass weight)</t>
  </si>
  <si>
    <t>Battery Enclosure (moving assembly only not the support tube )</t>
  </si>
  <si>
    <t>Note: Scale Weight is only E236:E253</t>
  </si>
  <si>
    <t>Scale Weight is just down to the yellow line</t>
  </si>
  <si>
    <t>Combined Forward Fairing  &amp; Joint Ring</t>
  </si>
  <si>
    <t>4199347 / 4199330</t>
  </si>
  <si>
    <t>Unit # MS:</t>
  </si>
  <si>
    <t>SP3004D</t>
  </si>
  <si>
    <t>Aft</t>
  </si>
  <si>
    <t>Forward</t>
  </si>
  <si>
    <t>Start Relative Humidity</t>
  </si>
  <si>
    <t>End Relative Humidity</t>
  </si>
  <si>
    <t>Total Unit Scale Weight /w Lead</t>
  </si>
  <si>
    <t>Total Unit Scale Weight no Lead</t>
  </si>
  <si>
    <t>Dartmouth Density = 1.022714 JSE 11/13/09</t>
  </si>
  <si>
    <t>0</t>
  </si>
  <si>
    <t>SBE 43f PCB SN:</t>
  </si>
  <si>
    <t>43f</t>
  </si>
  <si>
    <t>52356 / 55518/ 55245 / 56906 / 56911</t>
  </si>
  <si>
    <t>4199039 / 4199388 / 4199129</t>
  </si>
  <si>
    <t>4199111 / 4199122 / 4199120 / 4199342</t>
  </si>
  <si>
    <t>4199111 / 4199122</t>
  </si>
  <si>
    <t>4199081 / 4199082</t>
  </si>
  <si>
    <t>4199338 / 4199056</t>
  </si>
  <si>
    <t>4199051 / 4199091 / 17437</t>
  </si>
  <si>
    <t>4199155 / 19928</t>
  </si>
  <si>
    <t>4199410 / 4134111</t>
  </si>
  <si>
    <t>4199345 / 4134111</t>
  </si>
  <si>
    <t>roll_max_cnts</t>
  </si>
  <si>
    <t>vbd_min_cnts</t>
  </si>
  <si>
    <t>vbd_max_cnts</t>
  </si>
  <si>
    <t>vbd_cnts_per_cc</t>
  </si>
  <si>
    <t>at neutral, when achieved relative to C_VBD</t>
  </si>
  <si>
    <t>Neutral by interation in tank</t>
  </si>
  <si>
    <t>Relative to set C_VBD</t>
  </si>
  <si>
    <t>counts</t>
  </si>
  <si>
    <t>(Neil's table )</t>
  </si>
  <si>
    <t>counts*</t>
  </si>
  <si>
    <t>VBD rel V0, cc</t>
  </si>
  <si>
    <t>Displacement</t>
  </si>
  <si>
    <t>Vol max (oil outside)</t>
  </si>
  <si>
    <t>cc (pos. floats)</t>
  </si>
  <si>
    <t>Vol neutral</t>
  </si>
  <si>
    <t>sbe_cond_freq_max</t>
  </si>
  <si>
    <t>% kHz, est for greater than 34.9 sal max T</t>
  </si>
  <si>
    <t>sbe_temp_freq_min</t>
  </si>
  <si>
    <t>% kHz, from cal for 1 deg T</t>
  </si>
  <si>
    <t>sbe_temp_freq_max</t>
  </si>
  <si>
    <t>% kHz, from cal for 32.5 deg T</t>
  </si>
  <si>
    <t>% oxygen cal constants</t>
  </si>
  <si>
    <t>comm_oxy_type</t>
  </si>
  <si>
    <t>% spec SBE_43f or Aa_optode</t>
  </si>
  <si>
    <t>calibcomm_oxygen</t>
  </si>
  <si>
    <t>Soc</t>
  </si>
  <si>
    <t>Foffset</t>
  </si>
  <si>
    <t>o_a</t>
  </si>
  <si>
    <t>o_b</t>
  </si>
  <si>
    <t>o_c</t>
  </si>
  <si>
    <t>o_e</t>
  </si>
  <si>
    <t>Tau20</t>
  </si>
  <si>
    <t>Pcor</t>
  </si>
  <si>
    <t>$SEABIRD_T_G,</t>
  </si>
  <si>
    <t>$SEABIRD_T_H,</t>
  </si>
  <si>
    <r>
      <t xml:space="preserve">Magnetic Seal </t>
    </r>
    <r>
      <rPr>
        <b/>
        <sz val="12"/>
        <color indexed="10"/>
        <rFont val="Arial"/>
        <family val="2"/>
      </rPr>
      <t>(Replace O-ring with 4214427 prior to weighing)</t>
    </r>
  </si>
  <si>
    <r>
      <t xml:space="preserve">Iridium/GPS Ant., conn/o-ring/ CA W5, J2  </t>
    </r>
    <r>
      <rPr>
        <sz val="12"/>
        <color indexed="10"/>
        <rFont val="Arial"/>
        <family val="2"/>
      </rPr>
      <t>(LM-195 cable)</t>
    </r>
  </si>
  <si>
    <r>
      <t xml:space="preserve">Tubing, 1/4 Dia x 6.0" </t>
    </r>
    <r>
      <rPr>
        <b/>
        <sz val="12"/>
        <color indexed="10"/>
        <rFont val="Arial"/>
        <family val="2"/>
      </rPr>
      <t>(Cut 6.5")</t>
    </r>
  </si>
  <si>
    <t>too many to record</t>
  </si>
  <si>
    <t>Brass weight, screws and Spacers (if required)</t>
  </si>
  <si>
    <t>(From Weight sheets)</t>
  </si>
  <si>
    <t>full up weights JSE 12/9/09</t>
  </si>
  <si>
    <t xml:space="preserve">    SeaGlider  12/09/09 with lead</t>
  </si>
  <si>
    <t>11:34am</t>
  </si>
  <si>
    <t>JE</t>
  </si>
  <si>
    <t>8988169224000197138</t>
  </si>
  <si>
    <t>Customer - UH</t>
  </si>
  <si>
    <t>SG513</t>
  </si>
  <si>
    <t>mass: 51193.4</t>
  </si>
  <si>
    <t>max volume: 50789</t>
  </si>
  <si>
    <t>neutral density: 1023.0897</t>
  </si>
  <si>
    <t>C_VBD: 3456</t>
  </si>
  <si>
    <t>C_PITCH: 2786</t>
  </si>
  <si>
    <t>C_ROLL_DIVE: 2270</t>
  </si>
  <si>
    <t>C_ROLL_CLIMB: 2146</t>
  </si>
  <si>
    <t>Customer Density 12/18/09</t>
  </si>
  <si>
    <t>From PS flight 12/18/09</t>
  </si>
  <si>
    <t>Customer</t>
  </si>
  <si>
    <t>8089562271</t>
  </si>
  <si>
    <t>Mass Shifter Guide Pin Assy w/ Hard Stop ("the stinger"),screw, BEARING, BALL JOINT + RING, RETAINING SPIRAL, STUD, MOUNT, SWIVEL , RING, RETAINER, BALL JOINT</t>
  </si>
  <si>
    <t>Aft Terminal SN:</t>
  </si>
  <si>
    <t>See note to make Buttons work</t>
  </si>
  <si>
    <t xml:space="preserve">Pitch Trim </t>
  </si>
  <si>
    <t>=SUM(F62:F68)</t>
  </si>
  <si>
    <t>=SUM(F73:F86)</t>
  </si>
  <si>
    <t>Thrust</t>
  </si>
  <si>
    <t>Stroke</t>
  </si>
  <si>
    <t>For thrust see chart cell Q19</t>
  </si>
  <si>
    <t>(2x) 1/4-20 x 2" SHCS + 1/4 LW  brass, nose plate to nose base (4 - 5 plates)</t>
  </si>
  <si>
    <t>Aft Fairing</t>
  </si>
  <si>
    <t>(16x) 6-32 x 3/8 FHMS</t>
  </si>
  <si>
    <t>Main Pump Motor</t>
  </si>
  <si>
    <t>Boost Pump motor</t>
  </si>
  <si>
    <t>Roll Motor</t>
  </si>
  <si>
    <t>Pitch Motor</t>
  </si>
  <si>
    <t>Amp w/full mass shifter assy. orientation - nose down, full lift</t>
  </si>
  <si>
    <t>Oil Absorption pad, 1.9" x 10.125" + (2x) rib clips</t>
  </si>
  <si>
    <t>55527 / 49883</t>
  </si>
  <si>
    <t>Assy., Forward Hull Sections</t>
  </si>
  <si>
    <t>Endcap, Forward</t>
  </si>
  <si>
    <t>Acoustic transducer (ITC-3013), w/ cable W36</t>
  </si>
  <si>
    <t>100-cycle average time (sec):</t>
  </si>
  <si>
    <t>100-cycle avg. current (mA)</t>
  </si>
  <si>
    <t>100-cycle avg. current peak  (mA)</t>
  </si>
  <si>
    <t xml:space="preserve">Initial flair maneuver (dive start) (mA) </t>
  </si>
  <si>
    <t>Surface maneuver (mA)</t>
  </si>
  <si>
    <t>Apogee maneuver (mid dive) (mA)</t>
  </si>
  <si>
    <t>Material Density</t>
  </si>
  <si>
    <t>6061 T6 Alum</t>
  </si>
  <si>
    <t>Lead</t>
  </si>
  <si>
    <t>Naval Brass</t>
  </si>
  <si>
    <t>Stainless Steel</t>
  </si>
  <si>
    <t>Polypropylene</t>
  </si>
  <si>
    <t>Fairing fiberglass density**</t>
  </si>
  <si>
    <t xml:space="preserve">  Zinc</t>
  </si>
  <si>
    <t>PVC Density</t>
  </si>
  <si>
    <t>Neoprene Density</t>
  </si>
  <si>
    <t>Hydraulic Oil* Density</t>
  </si>
  <si>
    <t>PRC Wing Density</t>
  </si>
  <si>
    <t>Transducer SN:</t>
  </si>
  <si>
    <t>Compass w/compass carrier PCB (w/ tywrap)</t>
  </si>
  <si>
    <t>iRobot part #</t>
  </si>
  <si>
    <t>UW Part #</t>
  </si>
  <si>
    <t>Hydraulic oil:                                                             End Cap Without Oil</t>
  </si>
  <si>
    <t>Volume of Oil In System (=Oil_wt_2/Oil_density)</t>
  </si>
  <si>
    <t>4199112 / 4199135</t>
  </si>
  <si>
    <t>%optode_FoilCoefA2</t>
  </si>
  <si>
    <t>%optode_FoilCoefA3</t>
  </si>
  <si>
    <t>%optode_FoilCoefA4</t>
  </si>
  <si>
    <t>%optode_FoilCoefA5</t>
  </si>
  <si>
    <t>%optode_FoilCoefA6</t>
  </si>
  <si>
    <t>%optode_FoilCoefA7</t>
  </si>
  <si>
    <t>%optode_FoilCoefA8</t>
  </si>
  <si>
    <t>%optode_FoilCoefA9</t>
  </si>
  <si>
    <t>%optode_FoilCoefA10</t>
  </si>
  <si>
    <t>%optode_FoilCoefA11</t>
  </si>
  <si>
    <t>%optode_FoilCoefA12</t>
  </si>
  <si>
    <t>%optode_FoilCoefA13</t>
  </si>
  <si>
    <t>%optode_FoilCoefB1</t>
  </si>
  <si>
    <t>%optode_FoilCoefB2</t>
  </si>
  <si>
    <t>52336 / 52341 / 52454 / 52231 / 55474 /52481 / 56875 /56884 / 52340</t>
  </si>
  <si>
    <t xml:space="preserve"> 4199035 / 4205811 / 4199129 / 4199163 / 4199130</t>
  </si>
  <si>
    <t>4199047 / 4199435 / 4199129 /4199489 / 4199269</t>
  </si>
  <si>
    <t>volmax</t>
  </si>
  <si>
    <t>% from ballast worksheet final table</t>
  </si>
  <si>
    <t>rho0</t>
  </si>
  <si>
    <t>% from ballast worksheet for "new" evironment</t>
  </si>
  <si>
    <t>% initial hydrodynamic model params</t>
  </si>
  <si>
    <t>hd_a</t>
  </si>
  <si>
    <t>hd_b</t>
  </si>
  <si>
    <t>hd_c</t>
  </si>
  <si>
    <t>therm_expan</t>
  </si>
  <si>
    <t>temp_ref</t>
  </si>
  <si>
    <t>abs_compress</t>
  </si>
  <si>
    <t>pitchbias</t>
  </si>
  <si>
    <t>% software limits from cal sheet:</t>
  </si>
  <si>
    <t>pitch_min_cnts</t>
  </si>
  <si>
    <t>pitch_max_cnts</t>
  </si>
  <si>
    <t>roll_min_cnts</t>
  </si>
  <si>
    <t>Tank Density</t>
  </si>
  <si>
    <t>gram/cc</t>
  </si>
  <si>
    <t>calculated using web-calculator</t>
  </si>
  <si>
    <t>SG Mass</t>
  </si>
  <si>
    <t>measured with lead est. from orig. trim sheet</t>
  </si>
  <si>
    <t>SG Volume</t>
  </si>
  <si>
    <t>(4x) 6-32 x 1/2 SHCS + #6 LW, cylinder standoff to endcap</t>
  </si>
  <si>
    <t>aft endcap electronic parts - mount with CT sail</t>
  </si>
  <si>
    <t xml:space="preserve">Aft Terminal PCB </t>
  </si>
  <si>
    <t>(obsv in tank)</t>
  </si>
  <si>
    <t>Vol min (oil inside)</t>
  </si>
  <si>
    <t>cc (neg. sinks)</t>
  </si>
  <si>
    <t>Max movable vol.</t>
  </si>
  <si>
    <t>New enviornment ballasting</t>
  </si>
  <si>
    <t>SG Mass (observed)</t>
  </si>
  <si>
    <t>SG Vol max (obsv/est)</t>
  </si>
  <si>
    <t>SG Vol min</t>
  </si>
  <si>
    <t>New enivron density</t>
  </si>
  <si>
    <t>g/cc</t>
  </si>
  <si>
    <t>Goal for thrust</t>
  </si>
  <si>
    <t xml:space="preserve">New Vol neutral </t>
  </si>
  <si>
    <t>lead density</t>
  </si>
  <si>
    <t>Change mass by</t>
  </si>
  <si>
    <t>vol lead change</t>
  </si>
  <si>
    <t>Projected new mass</t>
  </si>
  <si>
    <t>Proj. Vol. max</t>
  </si>
  <si>
    <t>VBD points for new environ</t>
  </si>
  <si>
    <t>Vol max</t>
  </si>
  <si>
    <t>Vol neutral (C_VBD)</t>
  </si>
  <si>
    <t>Vol min</t>
  </si>
  <si>
    <t>Actual new mass</t>
  </si>
  <si>
    <t>Est. Vol. neutral</t>
  </si>
  <si>
    <t>$SEABIRD_T_I,</t>
  </si>
  <si>
    <t>$SEABIRD_T_J,</t>
  </si>
  <si>
    <t>$SEABIRD_C_G,</t>
  </si>
  <si>
    <t>$SEABIRD_C_H,</t>
  </si>
  <si>
    <t>$SEABIRD_C_I,</t>
  </si>
  <si>
    <t>$SEABIRD_C_J,</t>
  </si>
  <si>
    <t>$PRESSURE_SLOPE,</t>
  </si>
  <si>
    <t>$VBD_MIN,</t>
  </si>
  <si>
    <t>$VBD_MAX,</t>
  </si>
  <si>
    <t>$C_VBD,</t>
  </si>
  <si>
    <t>$VBD_CNV,</t>
  </si>
  <si>
    <t>$PITCH_MIN,</t>
  </si>
  <si>
    <t>$PITCH_MAX,</t>
  </si>
  <si>
    <t>$C_PITCH,</t>
  </si>
  <si>
    <t>$PITCH_CNV,</t>
  </si>
  <si>
    <t>$PITCH_GAIN,</t>
  </si>
  <si>
    <t>VBD A</t>
  </si>
  <si>
    <t>VBD B</t>
  </si>
  <si>
    <t>Max</t>
  </si>
  <si>
    <t>HW Ave</t>
  </si>
  <si>
    <t>SW Ave</t>
  </si>
  <si>
    <t>Min</t>
  </si>
  <si>
    <t>Pitch HW</t>
  </si>
  <si>
    <t>Roll HW</t>
  </si>
  <si>
    <t>Pitch SW Ave</t>
  </si>
  <si>
    <t>Roll SW Ave</t>
  </si>
  <si>
    <t>4205807 / 4205810 / 2601 / 4205785 / 4205787 / 4205808 / 4205809</t>
  </si>
  <si>
    <t>50954=calculated vol based on sensor change and regression vol</t>
  </si>
  <si>
    <t>I believe the regression vol may be better estimate.</t>
  </si>
  <si>
    <t xml:space="preserve">If % is lower than 63% add another nose plate </t>
  </si>
  <si>
    <t xml:space="preserve">If % is greater than 77% remove another nose plate </t>
  </si>
  <si>
    <t>Set Target Stroke %</t>
  </si>
  <si>
    <t xml:space="preserve">MS </t>
  </si>
  <si>
    <t>MS SN</t>
  </si>
  <si>
    <t>0 Deg C</t>
  </si>
  <si>
    <t>30 Deg C</t>
  </si>
  <si>
    <t>Output</t>
  </si>
  <si>
    <t>(A/D counts)</t>
  </si>
  <si>
    <t>Slope Coefficient Units (PSIA/A-D )</t>
  </si>
  <si>
    <t>Intercept Coefficient (PSIA)</t>
  </si>
  <si>
    <t>Slope</t>
  </si>
  <si>
    <t>Intercept</t>
  </si>
  <si>
    <t>Error Analysis 0 Deg</t>
  </si>
  <si>
    <t>Error Analysis 30 Deg</t>
  </si>
  <si>
    <t>Calculated</t>
  </si>
  <si>
    <t>Error</t>
  </si>
  <si>
    <t>Use these values for Seaglider Calibration Coefficients</t>
  </si>
  <si>
    <t>Slope Coefficient Units (PSIG/A-D )</t>
  </si>
  <si>
    <t>Intercept Coefficient (PSIG)</t>
  </si>
  <si>
    <t>Motor Data</t>
  </si>
  <si>
    <t>Hull, Aft Battery</t>
  </si>
  <si>
    <t>Joint Ring , battery hulls</t>
  </si>
  <si>
    <t>(8x) 6-32 x 3/4 SHCS + #6 LW, joint ring to fwd/aft batt. Hull</t>
  </si>
  <si>
    <t>(2x) O-Ring, E70-271</t>
  </si>
  <si>
    <t>(12x) Clips, Wiring</t>
  </si>
  <si>
    <t>Pulley, LeDuc pump motor</t>
  </si>
  <si>
    <t>(6x) 4-40 x 3/8 FHMS, hyd end cap to inner plate</t>
  </si>
  <si>
    <t>Pulley, LeDuc pump</t>
  </si>
  <si>
    <t>Timing Belt</t>
  </si>
  <si>
    <t>Pump Plate, Outer</t>
  </si>
  <si>
    <t>52267 / 52223</t>
  </si>
  <si>
    <t>O-Ring, E70-238, transducer to Endcap</t>
  </si>
  <si>
    <t>(6x) Alum 1/4-20 x 3/4 SHCS + 1/4 LW, xducer to end cap</t>
  </si>
  <si>
    <t>55236 / 55252</t>
  </si>
  <si>
    <t>Hull, Electronics</t>
  </si>
  <si>
    <t>O-Ring, E70-263, elec hull to fwd endcap</t>
  </si>
  <si>
    <t>(8x) 6-32 x 1/2 SHCS + #6 LW, elec hull to fwd endcap</t>
  </si>
  <si>
    <t>Compass bracket</t>
  </si>
  <si>
    <t>Compass w/compass carrier PCB</t>
  </si>
  <si>
    <t>(4x) 4-40 x 3/8 SHCS + #4 x 1/8L stand off</t>
  </si>
  <si>
    <t>(2x) 4-40 X 3/8 SHCS + #4 LW, comp mt to fwd encap</t>
  </si>
  <si>
    <t>55228 / 55233</t>
  </si>
  <si>
    <t>Cable Assembly W9  (compass cable)</t>
  </si>
  <si>
    <t>EPDM sheet density</t>
  </si>
  <si>
    <t>Nylon density</t>
  </si>
  <si>
    <t>Polycarbonate</t>
  </si>
  <si>
    <t>** vary to balance overall density of glider</t>
  </si>
  <si>
    <t>*Amsoil AWF-ISO15 (synthetic) specfic gravity is 0.8229gm/cc from product sheet 1/23/2009</t>
  </si>
  <si>
    <t>Modem SN:</t>
  </si>
  <si>
    <t>Ballast for:</t>
  </si>
  <si>
    <t>Density:</t>
  </si>
  <si>
    <t>Thrust:</t>
  </si>
  <si>
    <r>
      <t>/</t>
    </r>
    <r>
      <rPr>
        <sz val="12"/>
        <rFont val="Arial"/>
        <family val="2"/>
      </rPr>
      <t>4199135</t>
    </r>
  </si>
  <si>
    <t>52220 / 56905 / 55245 / 55321 / 55246</t>
  </si>
  <si>
    <t>4199393 / 4199395 / 4199089 / 4199352 /4199234 / 4199105 / 4199262 /4199266 /4199394</t>
  </si>
  <si>
    <t>(Default value 0)</t>
  </si>
  <si>
    <t>Bottom side lead</t>
  </si>
  <si>
    <t>% sg_calib_constants.m</t>
  </si>
  <si>
    <t>% values from spreadsheet for easy inclusion of glider params into diveplot.m, etc.</t>
  </si>
  <si>
    <t>% basic glider and mission params</t>
  </si>
  <si>
    <t>id_str</t>
  </si>
  <si>
    <t>='</t>
  </si>
  <si>
    <t>';</t>
  </si>
  <si>
    <t>mission_title</t>
  </si>
  <si>
    <t>iRobot Port Susan</t>
  </si>
  <si>
    <t>mass</t>
  </si>
  <si>
    <t>=</t>
  </si>
  <si>
    <t>;</t>
  </si>
  <si>
    <t>% from sum on trim sheet</t>
  </si>
  <si>
    <t>Whole glider weight - BEFORE PUTTING IN TANK or BOX - DRY!!!</t>
  </si>
  <si>
    <t>Ballasting worksheet</t>
  </si>
  <si>
    <t>Conversions</t>
  </si>
  <si>
    <t>Units</t>
  </si>
  <si>
    <t xml:space="preserve">VBD </t>
  </si>
  <si>
    <t>counts/cc</t>
  </si>
  <si>
    <t>cc=cm3</t>
  </si>
  <si>
    <t>gm=grams</t>
  </si>
  <si>
    <t>cc/counts</t>
  </si>
  <si>
    <t>counts=AtoD counts</t>
  </si>
  <si>
    <t>In tank to find original volume of SG</t>
  </si>
  <si>
    <t>Tank Temp</t>
  </si>
  <si>
    <t>deg C</t>
  </si>
  <si>
    <t>measured using YSI</t>
  </si>
  <si>
    <t>Tank Salinity (meas)</t>
  </si>
  <si>
    <t>ppt</t>
  </si>
  <si>
    <t>Tank Salinity (corr)</t>
  </si>
  <si>
    <t>ratio for tank salt</t>
  </si>
  <si>
    <t>52256 / 49814 / 55220</t>
  </si>
  <si>
    <t>(2x) 5-40 x 1/2 SHCS + #5 LW, Clamp to cylinder</t>
  </si>
  <si>
    <t xml:space="preserve">55250 / 55212 / 55225 </t>
  </si>
  <si>
    <t>(2x) 6-32 x 1/2 SHCS + #6 LW, boost pump bracket to endcap</t>
  </si>
  <si>
    <t>(2x) 6-32 x 1/2 SHCS w/ LW + (6x) 6-32 x 5/8 with zincs, bulkhead to battery hull</t>
  </si>
  <si>
    <t>(4x) 6-32 x 1/2 SHCS + #6 LW, rails to bulkhead</t>
  </si>
  <si>
    <t>55183 / 55217</t>
  </si>
  <si>
    <t>O-Ring, E70-263, elec hull to bulkhead</t>
  </si>
  <si>
    <t>SBE Conductivity PCB (included with sensors)</t>
  </si>
  <si>
    <t>Conductivity, PCB jumper, CA W26</t>
  </si>
  <si>
    <t>Shield, Radiation, C PCB + (4x) 2-56 x 1/4 BHCS</t>
  </si>
  <si>
    <t>49887 / 55221</t>
  </si>
  <si>
    <t>SBE Temperature PCB (included with sensors)</t>
  </si>
  <si>
    <t>Temperature, PCB jumper, CA W25</t>
  </si>
  <si>
    <t>Shield, Radiation, T PCB + (4x) 2-56 x 1/4 BHCS</t>
  </si>
  <si>
    <t>52371 / 55221</t>
  </si>
  <si>
    <t>SBE Oxygen PCB (only used with SBE 43f) ((included with sensors)</t>
  </si>
  <si>
    <t>Oxygen, PCB jumper, CA W33 (only used with SBE 43f)</t>
  </si>
  <si>
    <t>Est. C_VBD</t>
  </si>
  <si>
    <t>Tank and Puget Sound Notes</t>
  </si>
  <si>
    <t>Seaglider</t>
  </si>
  <si>
    <t>Date</t>
  </si>
  <si>
    <t>Action</t>
  </si>
  <si>
    <t>Maintenance sheet</t>
  </si>
  <si>
    <t>last updated</t>
  </si>
  <si>
    <t>Paine</t>
  </si>
  <si>
    <t>211-75-710-05</t>
  </si>
  <si>
    <t>Conversion to SG counts</t>
  </si>
  <si>
    <t>A/D Ref Voltage</t>
  </si>
  <si>
    <t>Volts/AD-count</t>
  </si>
  <si>
    <t>A/D Counts/Volt</t>
  </si>
  <si>
    <t>Max counts  (24 bit AD)</t>
  </si>
  <si>
    <t>$ROLL_MIN,</t>
  </si>
  <si>
    <t>$ROLL_MAX,</t>
  </si>
  <si>
    <t>$C_ROLL_DIVE,</t>
  </si>
  <si>
    <t>$C_ROLL_CLIMB,</t>
  </si>
  <si>
    <t>$ROLL_CNV,</t>
  </si>
  <si>
    <t>$RHO,</t>
  </si>
  <si>
    <t>$MASS,</t>
  </si>
  <si>
    <t>$AH0_24V,</t>
  </si>
  <si>
    <t>$AH0_10V,</t>
  </si>
  <si>
    <t>Paine calibration data from sheet delivered with sensor</t>
  </si>
  <si>
    <t>Excitation Voltage = 10.000V</t>
  </si>
  <si>
    <t>Response voltages in mV</t>
  </si>
  <si>
    <t>Pressure</t>
  </si>
  <si>
    <t>0 deg C</t>
  </si>
  <si>
    <t>30 deg C</t>
  </si>
  <si>
    <t>(PSIA)</t>
  </si>
  <si>
    <t>Increasing</t>
  </si>
  <si>
    <t>Decreasing</t>
  </si>
  <si>
    <t>Averages of increasing and decreasing and adjusted for Seaglider 5.000V excitation voltage</t>
  </si>
  <si>
    <t>Average</t>
  </si>
  <si>
    <t>Assy.,  Iridium Modem and bracket (includes satellite reciever - iridium LBT, cable assy W3, all clamps for wires, RF switch, DC block, and mounting hardware)</t>
  </si>
  <si>
    <t>(4x) 6-32 x 1/4 PHMS + #6 LW, modem cage to rails</t>
  </si>
  <si>
    <t>55209 / 55217</t>
  </si>
  <si>
    <t>Battery Pack, LV w/ CA W1</t>
  </si>
  <si>
    <t>Battery Pack Cage, LV</t>
  </si>
  <si>
    <t>(6x) 6-32 x 1/4 PHMS + #6 LW, batt. cage to rails</t>
  </si>
  <si>
    <t>Assy., Battery Hull Sections</t>
  </si>
  <si>
    <t>Hull, Fwd Battery</t>
  </si>
  <si>
    <t xml:space="preserve"> Vacuum/pressure relief valve (deep sea power)</t>
  </si>
  <si>
    <t>Pump Plate, Inner</t>
  </si>
  <si>
    <t>Assy, Main pump motor w/ CA W8,W18</t>
  </si>
  <si>
    <t>(3x) M2 x 6 FHMS  (motor to interface plate)</t>
  </si>
  <si>
    <t>Bore Reducer</t>
  </si>
  <si>
    <t>Trim Lead 1.000" fwd of bulkhead - bottom (5" strip)</t>
  </si>
  <si>
    <t>(4x) 4-40 x 3/16 SHCS + #4 LW, outer plate to inner plate</t>
  </si>
  <si>
    <t>Assy., Boost Pump</t>
  </si>
  <si>
    <t>Pump Bracket</t>
  </si>
  <si>
    <t>Motor, Chrge Pump w/ W34</t>
  </si>
  <si>
    <t>(2x) M2 x 6 FHMS, motor to bracket</t>
  </si>
  <si>
    <t>Magnet Rotor Housing</t>
  </si>
  <si>
    <t>(4x) 6-32 x 1/4 PHMS, bracket to housing</t>
  </si>
  <si>
    <t>Rotary Magnet</t>
  </si>
  <si>
    <t xml:space="preserve">Pumphead, Micropump + mounting plate + (3x) 4-40 x 3/8 FHMS  </t>
  </si>
  <si>
    <t>52360 / 52456 / 55229</t>
  </si>
  <si>
    <t>(4x) 4-40 x 3/16 SHCS + #4 LW, housing to flange</t>
  </si>
  <si>
    <t>55296 / 55233</t>
  </si>
  <si>
    <t>(2x) Elbow, 1/8 npt x 1/4 tube, alum</t>
  </si>
  <si>
    <t>SG lead worksheet</t>
  </si>
  <si>
    <t>date</t>
  </si>
  <si>
    <t>time</t>
  </si>
  <si>
    <t>who</t>
  </si>
  <si>
    <t>Wt. goal</t>
  </si>
  <si>
    <t>grams/pcs</t>
  </si>
  <si>
    <t>sum grams</t>
  </si>
  <si>
    <t>Nose plates  (qty)</t>
  </si>
  <si>
    <t>pc-1</t>
  </si>
  <si>
    <t>pc-2</t>
  </si>
  <si>
    <t>pc-3</t>
  </si>
  <si>
    <t>pc-4</t>
  </si>
  <si>
    <t>pc-5</t>
  </si>
  <si>
    <t>pc-6</t>
  </si>
  <si>
    <t>pc-7</t>
  </si>
  <si>
    <t>pc-8</t>
  </si>
  <si>
    <t>pc-9</t>
  </si>
  <si>
    <t>pc-10</t>
  </si>
  <si>
    <t>weights</t>
  </si>
  <si>
    <t>screws</t>
  </si>
  <si>
    <t>Scale weight of fwd fairing with nose plates added</t>
  </si>
  <si>
    <t>Scale weight of pupa with lead added:</t>
  </si>
  <si>
    <t>MS</t>
  </si>
  <si>
    <t>(Default value 128 for Paine)</t>
  </si>
  <si>
    <t>(Default value 14.7)</t>
  </si>
  <si>
    <t>Lead On Pupa At Fairing Joint Ring</t>
  </si>
  <si>
    <t>port/top</t>
  </si>
  <si>
    <t>middle</t>
  </si>
  <si>
    <t>stbrd/bottom</t>
  </si>
  <si>
    <t>weight tape</t>
  </si>
  <si>
    <t>rubber &amp; tape</t>
  </si>
  <si>
    <t>Port side lead</t>
  </si>
  <si>
    <t>Starboard side lead</t>
  </si>
  <si>
    <t>Top side lead</t>
  </si>
  <si>
    <t>All around strap</t>
  </si>
  <si>
    <t>Total wt. tape at aft</t>
  </si>
  <si>
    <t>Forward, bottom lead</t>
  </si>
  <si>
    <t>Total tape</t>
  </si>
  <si>
    <t>sum lead</t>
  </si>
  <si>
    <t>sum all variable wt.</t>
  </si>
  <si>
    <t>(2x) Saddles, mounting, T PCB + (4x) 4-40 x 1/4 PHMS</t>
  </si>
  <si>
    <t>(2x) Saddles, mounting, O2 PCB + (4x) 4-40 x 1/4 PHMS (only used with SBE 43f)</t>
  </si>
  <si>
    <t>Weigh Hydraulic res. Assy, then Oil fill &amp; add sub-assy fasteners</t>
  </si>
  <si>
    <t>Linear Poteniometer A  w/ cable assy (W21), Linear pot clamp, 3-48 x 1/2 SHCS, Spring, Linear pot rod end</t>
  </si>
  <si>
    <t>52255 / 49814 / 55220</t>
  </si>
  <si>
    <t>Linear Poteniometer B  w/ cable assy (W20), Linear pot clamp, 3-48 x 1/2 SHCS, Spring, Linear pot rod end</t>
  </si>
  <si>
    <t>(2x) 6-32 x 1/2 SHCS w/ LW + (5x) 6-32 x 5/8 with zincs, endcap to battery hull</t>
  </si>
  <si>
    <t>55183 / 55217 / 55214 / 49884</t>
  </si>
  <si>
    <t>O-Ring, E70-270,  Bulkhead to batt. hull</t>
  </si>
  <si>
    <t>Hydraulic oil:                                                               End Cap Without Oil</t>
  </si>
  <si>
    <t xml:space="preserve"> End Cap With Oil</t>
  </si>
  <si>
    <t>Oil Added To System</t>
  </si>
  <si>
    <t>Volume of Oil In System</t>
  </si>
  <si>
    <t>Assy., Hydraulics drive system</t>
  </si>
  <si>
    <t>Endcap, Aft</t>
  </si>
  <si>
    <t>(2x) Roll pin, 5/32 OD x 3/8, Pump anti rotation</t>
  </si>
  <si>
    <t>Connector, Male, 1/8 NPT x 1/4 tube, alum</t>
  </si>
  <si>
    <t>Connector, Male, 1/8 NPT x 1/4 tube, SS</t>
  </si>
  <si>
    <t>Assy, Solenoid Valve, Skinner</t>
  </si>
  <si>
    <t>Adaptor, Male, 1/8 NPT x 1/4 M, SS</t>
  </si>
  <si>
    <t>Ribbon Cable (W13) (gray)</t>
  </si>
  <si>
    <t>Ribbon  Cable (W14) (rainbow)</t>
  </si>
  <si>
    <t>CT Sensor Sail Assembly (stanchion, guard, nut, nacelle, (6x) 6-32 x 5/16 FHMS, o-ring (E70-016), o-ring (E70-012), SBE components)</t>
  </si>
  <si>
    <t>Assy., Mass shifter</t>
  </si>
  <si>
    <t>Moveable Weight</t>
  </si>
  <si>
    <t>HV Battery</t>
  </si>
  <si>
    <t>Assy., Electronics</t>
  </si>
  <si>
    <t>Electronics rail, port</t>
  </si>
  <si>
    <t>Electronics rail, starboard</t>
  </si>
  <si>
    <t>Excitation Voltage</t>
  </si>
  <si>
    <t>5.000</t>
  </si>
  <si>
    <t>Seaglider Mainboard (Mother board, TT8, CF8, flash card)</t>
  </si>
  <si>
    <t xml:space="preserve"> Insulation Sheet-OEM/Main</t>
  </si>
  <si>
    <t>(6x) 6-32 x 1/4 PHMS, main board to rails</t>
  </si>
  <si>
    <t>Assy., OEM Navigation Board (transponder PCB, transformer/inductor, capacitors, GPS reciever, W6 GPS serial interface, GPS antenna cable,DC-DC converter, Cable Assembly W7, all soldered on wiring )</t>
  </si>
  <si>
    <t>(6x) 6-32 x 1/4 PHMS, OEM board to rails</t>
  </si>
  <si>
    <t>52445 / 52446</t>
  </si>
  <si>
    <t>Check Valve (altered item Kepner 1106 A-1-1) + O-Ring (N70 3-906)</t>
  </si>
  <si>
    <t>49852 / 52408</t>
  </si>
  <si>
    <t xml:space="preserve">Bladder, External </t>
  </si>
  <si>
    <t>Nut, Bladder</t>
  </si>
  <si>
    <t>Position A (Comms):  IE55 w o-ring</t>
  </si>
  <si>
    <t>Position B (Opt O2):  IE55 w o-ring</t>
  </si>
  <si>
    <t>Position C (WL-1):  IE55 w o-ring</t>
  </si>
  <si>
    <t>Position D (SBE O2):  IE55 w o-ring</t>
  </si>
  <si>
    <t>Position E (WL-2):  IE55 w/ o-ring</t>
  </si>
  <si>
    <t>Position F (WL-3):  IE55 w/ o-ring</t>
  </si>
  <si>
    <t>Iridium/GPS Ant., conn/o-ring/ CA W5, J2</t>
  </si>
  <si>
    <t>EPDM base (5"x6") + (2x) 2"x 6" tape - starboard</t>
  </si>
  <si>
    <t>Trim Lead .600" aft of pupa joint ring - top (5" strip)</t>
  </si>
  <si>
    <t>EPDM base (5"x6") + (2x) 2"x 6" tape - top</t>
  </si>
  <si>
    <t>Trim Lead tape (~1g per 5" lead strip)</t>
  </si>
  <si>
    <t>(2) Straps - cut to length (start at 34g, subtract trimmed)</t>
  </si>
  <si>
    <t>Aft Fairing - with cutouts for panel</t>
  </si>
  <si>
    <t>Wing, Starboard (1m)</t>
  </si>
  <si>
    <t>Wing, Starboard (1.5m)</t>
  </si>
  <si>
    <t>Wing, Port  (1 m)</t>
  </si>
  <si>
    <t>Wing, Port  (1.5 m)</t>
  </si>
  <si>
    <t>(16x) 6-32 x 3/8 FHMS, wings to fairing</t>
  </si>
  <si>
    <t>Rudder</t>
  </si>
  <si>
    <t>(2x) 1/4-20 x 2" FHMS, rudder to rudder shoe</t>
  </si>
  <si>
    <t>Top panel</t>
  </si>
  <si>
    <t>Bottom panel</t>
  </si>
  <si>
    <t xml:space="preserve">Panel screws - (18) FHMS 6-32 x .375 </t>
  </si>
  <si>
    <t>Assy.,  Antenna</t>
  </si>
  <si>
    <t>Antenna Assembly GPSI (All parts)</t>
  </si>
  <si>
    <t>Cap (DGO protector during build - do not weigh)</t>
  </si>
  <si>
    <t>NA</t>
  </si>
  <si>
    <t>Filter, Balston</t>
  </si>
  <si>
    <t>Assy., Hydraulic Reservoir</t>
  </si>
  <si>
    <t>Piston, Diaphragm</t>
  </si>
  <si>
    <t>Diaphragm, Internal (Bellofram)</t>
  </si>
  <si>
    <t>Sikaflex Adhesive Compound</t>
  </si>
  <si>
    <t>Cylinder Head, Diaphragm</t>
  </si>
  <si>
    <t>Branch Tee, Male, 1/4 tube x 1/8 NPT x 1/4 tube, brass + Plastic plug (X59P4)</t>
  </si>
  <si>
    <t>Elbow, 1/8 NPT M x 1/8 NPT M, brass</t>
  </si>
  <si>
    <t>Kepner Chk Valve 404A-1-10</t>
  </si>
  <si>
    <t>Elbow, 1/8 npt x 1/8 tube, alum</t>
  </si>
  <si>
    <t>Bleed screw, 10-32 x .125 PHMS with seal</t>
  </si>
  <si>
    <t>Cylinder, Diaphragm</t>
  </si>
  <si>
    <t>(8x) 5-40 x 3/8 SHCS +#5 LW, head to cylinder</t>
  </si>
  <si>
    <t>Standoff (starboard)</t>
  </si>
  <si>
    <t>Standoff (port)</t>
  </si>
  <si>
    <t>(4x) 6-32 x 3/8 SHCS, standoff to cylinder</t>
  </si>
  <si>
    <t>(2x) Saddles, mounting, Aft PCB + (4x) 4-40 x 1/4 PHMS</t>
  </si>
  <si>
    <t>52373 / 55257</t>
  </si>
  <si>
    <t>(2x) Saddles, mounting, C PCB + (4x) 4-40 x 1/4 PHMS</t>
  </si>
  <si>
    <t>49888 / 55257</t>
  </si>
  <si>
    <t>Wet Labs sensor Assy. (WL Triplet sensor, (2x) Wet labs sensor clamp, (2x) 8-32 x 5/8 FHMS - sensor clamp to fairing)</t>
  </si>
  <si>
    <t>Assy., Pupa</t>
  </si>
  <si>
    <t>Complete pupae volume - sum this sheet</t>
  </si>
  <si>
    <t>Position B (Opt O2):  IE55 dummy plug</t>
  </si>
  <si>
    <t>Position C (WL-1):  IE55 dummy plug</t>
  </si>
  <si>
    <t>Position D (SBE O2):  IE55 dummy plug</t>
  </si>
  <si>
    <t>Position E (WL-2):  IE55 dummy plug</t>
  </si>
  <si>
    <t>Position F (WL-3 / PAR):  IE55 dummy plug</t>
  </si>
  <si>
    <t>O-Ring, E70-270, Endcap to Batt Hull</t>
  </si>
  <si>
    <t>Vertical CG (VCG)</t>
  </si>
  <si>
    <t>(goal is ~ -0.45 from prior builds)</t>
  </si>
  <si>
    <t>Computed VCB</t>
  </si>
  <si>
    <t>(goal is ~0.07 from prior builds)</t>
  </si>
  <si>
    <t>VCB-VCG Separation</t>
  </si>
  <si>
    <t>(goal is ~0.53 from prior builds)</t>
  </si>
  <si>
    <t>Roll-mass (batt) Angle</t>
  </si>
  <si>
    <t>Total</t>
  </si>
  <si>
    <t>Moment</t>
  </si>
  <si>
    <t>Qty</t>
  </si>
  <si>
    <t>(8x) 6-32 x 1/2 SHCS + #6 LW, elec hull to bulkhead</t>
  </si>
  <si>
    <t>Assy., Aft Endcap</t>
  </si>
  <si>
    <t>VCG&amp;B</t>
  </si>
  <si>
    <t>VCG</t>
  </si>
  <si>
    <t>VCB</t>
  </si>
  <si>
    <t>Description</t>
  </si>
  <si>
    <t>(or Assy Wt)</t>
  </si>
  <si>
    <t>grams</t>
  </si>
  <si>
    <t>inch</t>
  </si>
  <si>
    <t>gm-cm</t>
  </si>
  <si>
    <t>cc-cm</t>
  </si>
  <si>
    <t xml:space="preserve">Complete fairing &amp; antenna </t>
  </si>
  <si>
    <t>Subtotal (summed) Weight</t>
  </si>
  <si>
    <t>Scale Weight</t>
  </si>
  <si>
    <t>Summed volume</t>
  </si>
  <si>
    <t>sum-diff's</t>
  </si>
  <si>
    <t>Complete pupa</t>
  </si>
  <si>
    <t>Total weights and volume - Flying SG - without adjustment</t>
  </si>
  <si>
    <t>Adjustment to reflect trims found in tank &amp; Port Susan</t>
  </si>
  <si>
    <t>Total weights and volume - Flying SG - adjusted, reported above</t>
  </si>
  <si>
    <t>Flying Seaglider</t>
  </si>
  <si>
    <t>(8x) 10-32 x 3/8 FHMS, joint ring to aft fairing</t>
  </si>
  <si>
    <t>Branch Tee, Male, 1/4 tube x 1/8 NPT x 1/4 tube, alum</t>
  </si>
  <si>
    <t>Tubing, 1/4 DIA x 8"</t>
  </si>
  <si>
    <t>Tubing, 1/4 Dia x 6.0"</t>
  </si>
  <si>
    <t>Check Valve, Kepner 204 A-1</t>
  </si>
  <si>
    <t>Union Elbow, Male, 1/4 tube x 1/4 tube, alum</t>
  </si>
  <si>
    <t>Tubing, 1/4 DIA x 9.625"</t>
  </si>
  <si>
    <t>Run Tee, Male,1/4 tube x 1/4 tube x 1/8 NPT, alum</t>
  </si>
  <si>
    <t>Tubing, 1/4 Dia x 4.375"</t>
  </si>
  <si>
    <t>Seal Washer</t>
  </si>
  <si>
    <t>LeDuc Output Screw</t>
  </si>
  <si>
    <t>Hydraulic Pump, LeDuc</t>
  </si>
  <si>
    <t>Hydraulic endcap</t>
  </si>
  <si>
    <t>Ball Bearing, 8mm ID x 16mm OD</t>
  </si>
  <si>
    <t>O-Ring, N70-032, hydraulic endcap</t>
  </si>
  <si>
    <t>Connector, Male, 1/16 NPT x 1/8 tube, brass</t>
  </si>
  <si>
    <t>Tubing, 1/8 Dia. X 10.5"</t>
  </si>
  <si>
    <t>Magnetic Seal</t>
  </si>
  <si>
    <t>(6x) 6-32 x 1/2 SHCS + #6 LW, hydraulic encap to encap</t>
  </si>
  <si>
    <t>Lee Plug Set</t>
  </si>
  <si>
    <t>(2x) 1/4-20 x .75" SHCS + 1/4 LW  brass, nose plate to nose base (1 plate)</t>
  </si>
  <si>
    <t>55473 / 55253</t>
  </si>
  <si>
    <t>Assy., Lead Ballast</t>
  </si>
  <si>
    <t>Trim Lead .600" aft of pupa joint ring - bottom (5" strip)</t>
  </si>
  <si>
    <t>EPDM base (5"x6") + (2x) 2"x 6" tape - bottom</t>
  </si>
  <si>
    <t>not in BOM</t>
  </si>
  <si>
    <t>Trim Lead .600" aft of pupa joint ring - port side (5" strip)</t>
  </si>
  <si>
    <t>EPDM base (5"x6") + (2x) 2"x 6" tape - port</t>
  </si>
  <si>
    <t>Trim Lead .600" aft of pupa joint ring - starboard side (5" strip)</t>
  </si>
  <si>
    <t>DIP switch settings</t>
  </si>
  <si>
    <t>(sw-1/sw-2)</t>
  </si>
  <si>
    <t>Iridium Modem</t>
  </si>
  <si>
    <t>9522A</t>
  </si>
  <si>
    <t>IMEI Number</t>
  </si>
  <si>
    <t>SIM Card Owner</t>
  </si>
  <si>
    <t>phone #</t>
  </si>
  <si>
    <t>data #</t>
  </si>
  <si>
    <t>SIM Card SN</t>
  </si>
  <si>
    <t>SBE C and T Sensors</t>
  </si>
  <si>
    <t>Sail SN</t>
  </si>
  <si>
    <t>Temp PCB SN</t>
  </si>
  <si>
    <t>Cond PCB SN</t>
  </si>
  <si>
    <t>EPDM base (5"x3")</t>
  </si>
  <si>
    <t>Strap - cut to length (start at 17g, subtract trimmed)</t>
  </si>
  <si>
    <t>lead goal</t>
  </si>
  <si>
    <t>currently at</t>
  </si>
  <si>
    <t>Assy., Aft Fairing</t>
  </si>
  <si>
    <t>End psi:</t>
  </si>
  <si>
    <t>Initial RH:</t>
  </si>
  <si>
    <t>End RH:</t>
  </si>
  <si>
    <t>SBE Calibration date:</t>
  </si>
  <si>
    <t>Conductivity Calibration Coefficients</t>
  </si>
  <si>
    <t>Temperature Calibration Coefficients</t>
  </si>
  <si>
    <t>g =</t>
  </si>
  <si>
    <t>h =</t>
  </si>
  <si>
    <t>i =</t>
  </si>
  <si>
    <t>j =</t>
  </si>
  <si>
    <t>Cpcor (nom) =</t>
  </si>
  <si>
    <t>f0 =</t>
  </si>
  <si>
    <t>Ctcor (nom) =</t>
  </si>
  <si>
    <t>Optical Sensor(s)</t>
  </si>
  <si>
    <t xml:space="preserve">   </t>
  </si>
  <si>
    <t>cal date</t>
  </si>
  <si>
    <t>Sea-Bird 43f coefficients</t>
  </si>
  <si>
    <t xml:space="preserve">Soc = </t>
  </si>
  <si>
    <t>Boc =</t>
  </si>
  <si>
    <t>Tcor =</t>
  </si>
  <si>
    <t>Pcor =</t>
  </si>
  <si>
    <t>Foffset=</t>
  </si>
  <si>
    <t>A=</t>
  </si>
  <si>
    <t>B=</t>
  </si>
  <si>
    <t>C=</t>
  </si>
  <si>
    <t>E=</t>
  </si>
  <si>
    <t>Tau20=</t>
  </si>
  <si>
    <t>SEAGLIDER - Trim and Balance</t>
  </si>
  <si>
    <t>Spreadsheet Usage Notes from Russ Light</t>
  </si>
  <si>
    <t xml:space="preserve">Comments: </t>
  </si>
  <si>
    <t>Fwd Fairing assy scale wt:</t>
  </si>
  <si>
    <t>Enter data only where font is RED</t>
  </si>
  <si>
    <t>Assy., Aanderaa Optode Oxygen Sensor</t>
  </si>
  <si>
    <t>O2 Sensor Assy. (Aanderaa optode, mount base, SS hose clamp, (2x) 8-32 x 5/8 FHMS, (2x) 8-32 nylok)</t>
  </si>
  <si>
    <t>Assy., SBE 43f Oxygen Sensor</t>
  </si>
  <si>
    <t>Pupa assy w/lead scale wt:</t>
  </si>
  <si>
    <t>Total Scale Weight</t>
  </si>
  <si>
    <t>O2 Sensor Assy. (O2 sensor, Plenum, (2x) 6-32 x 5/8 SHCS - plenum to sensor,  (2x) O2 Clamp, (4x) 6-32 x 5/8 FHMS - Clamp to aft fairing</t>
  </si>
  <si>
    <t>O2 Sensor Cable Assembly</t>
  </si>
  <si>
    <t>Plug assy, SBE 43f plenum</t>
  </si>
  <si>
    <t>Assy., PAR Sensor</t>
  </si>
  <si>
    <t>-</t>
  </si>
  <si>
    <t>PAR sensor with mounting bracket and screws</t>
  </si>
  <si>
    <t>52296 / 52312 / 55245</t>
  </si>
  <si>
    <t>Cover, WL sensor used in shipping</t>
  </si>
  <si>
    <t>Internal Oil Stroke (100% is all inside, ext. bladder empty)</t>
  </si>
  <si>
    <t>A/D counts</t>
  </si>
  <si>
    <t>(input %, not counts)</t>
  </si>
  <si>
    <t>($PITCH_VBD_SHIFT)</t>
  </si>
  <si>
    <t xml:space="preserve"> cm per cc</t>
  </si>
  <si>
    <t>Longitudinal CG</t>
  </si>
  <si>
    <t>cm</t>
  </si>
  <si>
    <t>inches</t>
  </si>
  <si>
    <t>Longitudinal CB</t>
  </si>
  <si>
    <t>LCB-LCG Separation</t>
  </si>
  <si>
    <t>Pitch-mass Stroke (100% is fully aft, nominal is 70%)</t>
  </si>
  <si>
    <t>Pitch-mass (batt) Location</t>
  </si>
  <si>
    <t>Vehicle Pitch Angle (positive is nose up)</t>
  </si>
  <si>
    <t>deg</t>
  </si>
  <si>
    <t>(goal is change of ~28 deg per cm travel, use goal-seek on Location by +/-1cm to test)</t>
  </si>
  <si>
    <t>Boost Pump SN</t>
  </si>
  <si>
    <t>cm3 (cc) oil*</t>
  </si>
  <si>
    <t>$VBD_Min (Ext Bladder full)</t>
  </si>
  <si>
    <t>$VBD_Max (Ext Bladder empty)</t>
  </si>
  <si>
    <t>Total movable oil volume</t>
  </si>
  <si>
    <t>Neutral Trim (from Ballast sheet)</t>
  </si>
  <si>
    <t>($C_VBD for neutral)</t>
  </si>
  <si>
    <t>(nomially 0 at spec rho)</t>
  </si>
  <si>
    <t>cc per AD</t>
  </si>
  <si>
    <t>$VBD_CNV</t>
  </si>
  <si>
    <t>Weight</t>
  </si>
  <si>
    <t>LCG</t>
  </si>
  <si>
    <t>Volume</t>
  </si>
  <si>
    <t>Total Vol</t>
  </si>
  <si>
    <t>LCB</t>
  </si>
  <si>
    <t>Comments</t>
  </si>
  <si>
    <t>Headroom, fwd</t>
  </si>
  <si>
    <t>AD counts</t>
  </si>
  <si>
    <t>Headroom, aft</t>
  </si>
  <si>
    <t>Hardware Limit (counts)</t>
  </si>
  <si>
    <t>Software Limit (counts)</t>
  </si>
  <si>
    <t>cm travel*</t>
  </si>
  <si>
    <t>Minimum (full forward)</t>
  </si>
  <si>
    <t>Maximum (full aft)</t>
  </si>
  <si>
    <t>Stroke Length</t>
  </si>
  <si>
    <t xml:space="preserve"> Pitch Center</t>
  </si>
  <si>
    <t>(as defined by $C_PITCH)</t>
  </si>
  <si>
    <t>cm full stroke:</t>
  </si>
  <si>
    <t>Conversion constant</t>
  </si>
  <si>
    <t>cm per AD</t>
  </si>
  <si>
    <t>($PITCH_CNV)</t>
  </si>
  <si>
    <t>(conversion inverse)</t>
  </si>
  <si>
    <t>AD per cm</t>
  </si>
  <si>
    <t>*equation</t>
  </si>
  <si>
    <t>cm = (AD –center)* conversion factor (cm/AD)</t>
  </si>
  <si>
    <t>Assy., Hydrophone</t>
  </si>
  <si>
    <t>HTI hydrophone recorder with mounting bracket, screws, cable assy</t>
  </si>
  <si>
    <t>gm</t>
  </si>
  <si>
    <t>not in BOM</t>
  </si>
  <si>
    <t>ARS SN:</t>
  </si>
  <si>
    <t>(8x) 1/4-28 x 1/2 FHMS, Aft fairing to endcap</t>
  </si>
  <si>
    <t>Assy, Forward Fairing</t>
  </si>
  <si>
    <t>Subtotal Weight</t>
  </si>
  <si>
    <t>Forward Fairing</t>
  </si>
  <si>
    <t>Compass</t>
  </si>
  <si>
    <t>Manufactuer</t>
  </si>
  <si>
    <t>Sparton</t>
  </si>
  <si>
    <t>Model number</t>
  </si>
  <si>
    <t>Serial Number</t>
  </si>
  <si>
    <t>Compass SW version #</t>
  </si>
  <si>
    <t>Joint Ring, Fwd to Aft Fairing (bonded to fwd fairing before paint;  Long ring = 875g, short ring 688g )</t>
  </si>
  <si>
    <t>Nose weight (bonded to fwd fairing after paint)</t>
  </si>
  <si>
    <t>Nose weight plates</t>
  </si>
  <si>
    <t>(2x) 1/4-20 x 2" SHCS + 1/4 LW  brass, nose plate to nose base (4 - 5 plates) -= 28.5</t>
  </si>
  <si>
    <t>55186 / 55253</t>
  </si>
  <si>
    <t>(2x) 1/4-20 x 1.5" SHCS + 1/4 LW  brass, nose plate to nose base (2 -3 plates)</t>
  </si>
  <si>
    <t>55185 / 55253</t>
  </si>
  <si>
    <t>OEM Board &amp; Sub-systems</t>
  </si>
  <si>
    <t>GPS Manufacturer</t>
  </si>
  <si>
    <t>Garmin</t>
  </si>
  <si>
    <t>GPS Model Number</t>
  </si>
  <si>
    <t>15H-W</t>
  </si>
  <si>
    <t>GPS Serial Number</t>
  </si>
  <si>
    <t>GPSI Antenna SN</t>
  </si>
  <si>
    <t>(fab by Ocean Eng Services)</t>
  </si>
  <si>
    <t>DC-DC converter SN</t>
  </si>
  <si>
    <t>Transducer Manu.</t>
  </si>
  <si>
    <t>ITC</t>
  </si>
  <si>
    <t>Transducer Model</t>
  </si>
  <si>
    <t>Transducer SN</t>
  </si>
  <si>
    <t>Acoustic Transponder</t>
  </si>
  <si>
    <t>AAE</t>
  </si>
  <si>
    <t>Model</t>
  </si>
  <si>
    <t>Main-board SN</t>
  </si>
  <si>
    <t>Sub-board SN</t>
  </si>
  <si>
    <t>AAE software ver #</t>
  </si>
  <si>
    <t xml:space="preserve">Ver </t>
  </si>
  <si>
    <t>Interrogate Frequency</t>
  </si>
  <si>
    <t>KHz</t>
  </si>
  <si>
    <t>Reply Frequency</t>
  </si>
  <si>
    <t>Temp @ cal.</t>
  </si>
  <si>
    <t>Psig/AD count</t>
  </si>
  <si>
    <t>Calibrated Slope</t>
  </si>
  <si>
    <t>(either PresCal-B64)</t>
  </si>
  <si>
    <t>Cal. Y-Intercept</t>
  </si>
  <si>
    <t>(Changed each time sensor set for “sealevel”)</t>
  </si>
  <si>
    <t>Depth Offset</t>
  </si>
  <si>
    <t>Meters</t>
  </si>
  <si>
    <t>Conversion Factor</t>
  </si>
  <si>
    <t>0.685 psig/meter</t>
  </si>
  <si>
    <t>Internal Pressure</t>
  </si>
  <si>
    <t>Initial psi:</t>
  </si>
  <si>
    <t>Compass carier PCB</t>
  </si>
  <si>
    <t>TCM2MAT file creation date</t>
  </si>
  <si>
    <t>Main Board</t>
  </si>
  <si>
    <t>(52290=normal glider)</t>
  </si>
  <si>
    <t>Mainboard Revision</t>
  </si>
  <si>
    <t>B.4</t>
  </si>
  <si>
    <t>Mainboard Serial Number</t>
  </si>
  <si>
    <t>Computer Type</t>
  </si>
  <si>
    <t>TT8</t>
  </si>
  <si>
    <t>Onset Computers</t>
  </si>
  <si>
    <t>Computer Serial Number</t>
  </si>
  <si>
    <t>Disk system</t>
  </si>
  <si>
    <t>CF8V2</t>
  </si>
  <si>
    <t>Persistor Corp.</t>
  </si>
  <si>
    <t>Compact Flash Card Manu.</t>
  </si>
  <si>
    <t xml:space="preserve">Silicon Systems  </t>
  </si>
  <si>
    <t>CF card size</t>
  </si>
  <si>
    <t>256 MB</t>
  </si>
  <si>
    <t>CF card  serial/ID #</t>
  </si>
  <si>
    <t>Watchdog (PIC) setting (min)</t>
  </si>
  <si>
    <t>10 min</t>
  </si>
  <si>
    <t>(10min = dips 2&amp;4 on)</t>
  </si>
  <si>
    <t>AD per cc</t>
  </si>
  <si>
    <t>*equation:</t>
  </si>
  <si>
    <t>cc oil=(AD@neutral trim)* conv. factor (cc/counts)</t>
  </si>
  <si>
    <t>(1 cc oil = 1.025 g buoyancy)</t>
  </si>
  <si>
    <t>Pressure Sensor</t>
  </si>
  <si>
    <t>(all values fed from press-cal worksheet including date)</t>
  </si>
  <si>
    <t>Values from Pres Cal sht</t>
  </si>
  <si>
    <t>Manufacturer</t>
  </si>
  <si>
    <t>Model #</t>
  </si>
  <si>
    <t>Serial #</t>
  </si>
  <si>
    <t>Calibration date</t>
  </si>
  <si>
    <t>A/D Gain</t>
  </si>
  <si>
    <t>PSI = Slope *AD_Count + Y_Intercept</t>
  </si>
  <si>
    <t>Atmos @ cal.</t>
  </si>
  <si>
    <t>Total glider wt by assy scale wts:</t>
  </si>
  <si>
    <t>Weight difference/"error"</t>
  </si>
  <si>
    <t>Actual</t>
  </si>
  <si>
    <t>Variable wt, including nose-wt-plates</t>
  </si>
  <si>
    <t>diff</t>
  </si>
  <si>
    <t>Displaced Volume, measured in tank</t>
  </si>
  <si>
    <t>cc</t>
  </si>
  <si>
    <t>see Ballast worksheet for more volume details</t>
  </si>
  <si>
    <t>Displaced Volume, summed items</t>
  </si>
  <si>
    <t>Water Density</t>
  </si>
  <si>
    <t>gm/cc</t>
  </si>
  <si>
    <t>Net Buoyancy (relative to neutral, positive floats, no thrust)</t>
  </si>
  <si>
    <t>predicted using this spreadsheet, actual may vary!</t>
  </si>
  <si>
    <t>(-) cm is fwd of center, (+) cm is aft of center</t>
  </si>
  <si>
    <t>Roll Mass</t>
  </si>
  <si>
    <t>Headroom</t>
  </si>
  <si>
    <t>degrees roll*</t>
  </si>
  <si>
    <t>Full roll to port</t>
  </si>
  <si>
    <t>Full roll to starboard</t>
  </si>
  <si>
    <t>Dive Roll Center</t>
  </si>
  <si>
    <t>($C_ROLL_DIVE)</t>
  </si>
  <si>
    <t>Climb Roll Center</t>
  </si>
  <si>
    <t>($C_ROLL_CLIMB)</t>
  </si>
  <si>
    <t>degree per AD</t>
  </si>
  <si>
    <t>($ROLL_CONV)</t>
  </si>
  <si>
    <t>AD per degree</t>
  </si>
  <si>
    <t>*Equation:</t>
  </si>
  <si>
    <t>deg=(AD-center) * conversion factor</t>
  </si>
  <si>
    <t>Variable Buoyancy Drive (VBD)</t>
  </si>
  <si>
    <t>LeDuc Pump SN</t>
  </si>
  <si>
    <t>(short shaft SN)</t>
  </si>
  <si>
    <t>Aft fairing assy scale wt:</t>
  </si>
  <si>
    <t>Density Trim</t>
  </si>
  <si>
    <t>Fairing screws scale wt:</t>
  </si>
  <si>
    <t>Total Weight (in air), summed items, corrected</t>
  </si>
  <si>
    <t>gm</t>
  </si>
  <si>
    <t>Serial No.</t>
  </si>
  <si>
    <t>Date:</t>
  </si>
  <si>
    <t>Time:</t>
  </si>
  <si>
    <t>Software Revision</t>
  </si>
  <si>
    <t>rev 66.04/10:1503M</t>
  </si>
  <si>
    <t>Pitch Mass</t>
  </si>
  <si>
    <t>Last updated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</si>
</sst>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0_-;\-* #,##0.00_-;_-* \-??_-;_-@_-"/>
    <numFmt numFmtId="171" formatCode="_(* #,##0.00_);_(* \(#,##0.00\);_(* \-??_);_(@_)"/>
    <numFmt numFmtId="172" formatCode="0.00;[Red]0.00"/>
    <numFmt numFmtId="173" formatCode="0.000000"/>
    <numFmt numFmtId="174" formatCode="0.00000"/>
    <numFmt numFmtId="175" formatCode="0.000000E+00"/>
    <numFmt numFmtId="176" formatCode="0.000"/>
    <numFmt numFmtId="177" formatCode="0.0"/>
    <numFmt numFmtId="178" formatCode="0000"/>
    <numFmt numFmtId="179" formatCode="d\-mmm\-yy;@"/>
    <numFmt numFmtId="180" formatCode="0.00000000E+00"/>
    <numFmt numFmtId="181" formatCode="0.0000E+00"/>
    <numFmt numFmtId="182" formatCode="_(* #,##0_);_(* \(#,##0\);_(* \-??_);_(@_)"/>
    <numFmt numFmtId="183" formatCode="0.0E+00;\ठ"/>
    <numFmt numFmtId="184" formatCode="dd\-mmm\-yy"/>
    <numFmt numFmtId="185" formatCode="0.0000"/>
    <numFmt numFmtId="186" formatCode="0.0000000E+00"/>
    <numFmt numFmtId="187" formatCode="0.00000%"/>
    <numFmt numFmtId="188" formatCode="0.000000000000"/>
    <numFmt numFmtId="189" formatCode="0.000000000"/>
    <numFmt numFmtId="190" formatCode="0.00000E+00"/>
    <numFmt numFmtId="191" formatCode="General"/>
  </numFmts>
  <fonts count="6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4"/>
      <color indexed="10"/>
      <name val="Arial"/>
      <family val="2"/>
    </font>
    <font>
      <sz val="12"/>
      <name val="Arial"/>
      <family val="2"/>
    </font>
    <font>
      <b/>
      <sz val="12"/>
      <name val="Arial"/>
      <family val="2"/>
    </font>
    <font>
      <sz val="10"/>
      <color indexed="10"/>
      <name val="Arial"/>
      <family val="2"/>
    </font>
    <font>
      <sz val="10"/>
      <color indexed="53"/>
      <name val="Arial"/>
      <family val="2"/>
    </font>
    <font>
      <i/>
      <sz val="10"/>
      <name val="Arial"/>
      <family val="2"/>
    </font>
    <font>
      <sz val="10"/>
      <name val="Verdana"/>
      <family val="0"/>
    </font>
    <font>
      <sz val="10"/>
      <color indexed="8"/>
      <name val="Arial"/>
      <family val="2"/>
    </font>
    <font>
      <b/>
      <sz val="18"/>
      <name val="Arial"/>
      <family val="2"/>
    </font>
    <font>
      <sz val="11"/>
      <name val="Arial"/>
      <family val="2"/>
    </font>
    <font>
      <b/>
      <sz val="8"/>
      <color indexed="8"/>
      <name val="Nimbus Roman No9 L"/>
      <family val="1"/>
    </font>
    <font>
      <sz val="8"/>
      <color indexed="8"/>
      <name val="Nimbus Roman No9 L"/>
      <family val="1"/>
    </font>
    <font>
      <sz val="12"/>
      <color indexed="14"/>
      <name val="Arial"/>
      <family val="2"/>
    </font>
    <font>
      <sz val="12"/>
      <color indexed="10"/>
      <name val="Arial"/>
      <family val="2"/>
    </font>
    <font>
      <b/>
      <sz val="12"/>
      <color indexed="10"/>
      <name val="Arial"/>
      <family val="2"/>
    </font>
    <font>
      <b/>
      <i/>
      <sz val="12"/>
      <name val="Arial"/>
      <family val="2"/>
    </font>
    <font>
      <sz val="12"/>
      <color indexed="8"/>
      <name val="Arial"/>
      <family val="2"/>
    </font>
    <font>
      <sz val="12"/>
      <color indexed="25"/>
      <name val="Arial"/>
      <family val="2"/>
    </font>
    <font>
      <b/>
      <i/>
      <sz val="12"/>
      <color indexed="8"/>
      <name val="Arial"/>
      <family val="2"/>
    </font>
    <font>
      <i/>
      <sz val="12"/>
      <name val="Arial"/>
      <family val="2"/>
    </font>
    <font>
      <u val="single"/>
      <sz val="12"/>
      <name val="Arial"/>
      <family val="2"/>
    </font>
    <font>
      <u val="single"/>
      <sz val="12"/>
      <color indexed="8"/>
      <name val="Arial"/>
      <family val="2"/>
    </font>
    <font>
      <sz val="14"/>
      <color indexed="8"/>
      <name val="Arial"/>
      <family val="2"/>
    </font>
    <font>
      <b/>
      <sz val="12"/>
      <color indexed="25"/>
      <name val="Arial"/>
      <family val="2"/>
    </font>
    <font>
      <b/>
      <sz val="12"/>
      <color indexed="8"/>
      <name val="Arial"/>
      <family val="2"/>
    </font>
    <font>
      <b/>
      <sz val="12"/>
      <color indexed="11"/>
      <name val="Arial"/>
      <family val="2"/>
    </font>
    <font>
      <sz val="12"/>
      <color indexed="11"/>
      <name val="Arial"/>
      <family val="2"/>
    </font>
    <font>
      <sz val="12"/>
      <color indexed="12"/>
      <name val="Arial"/>
      <family val="2"/>
    </font>
    <font>
      <sz val="14"/>
      <name val="Arial"/>
      <family val="2"/>
    </font>
    <font>
      <sz val="14"/>
      <color indexed="10"/>
      <name val="Arial"/>
      <family val="2"/>
    </font>
    <font>
      <b/>
      <sz val="16"/>
      <name val="Arial"/>
      <family val="2"/>
    </font>
    <font>
      <b/>
      <sz val="12"/>
      <color indexed="14"/>
      <name val="Arial"/>
      <family val="2"/>
    </font>
    <font>
      <b/>
      <sz val="10"/>
      <name val="Arial"/>
      <family val="2"/>
    </font>
    <font>
      <b/>
      <i/>
      <sz val="10"/>
      <name val="Arial"/>
      <family val="2"/>
    </font>
    <font>
      <sz val="10"/>
      <color indexed="12"/>
      <name val="Arial"/>
      <family val="2"/>
    </font>
    <font>
      <b/>
      <sz val="10"/>
      <color indexed="10"/>
      <name val="Arial"/>
      <family val="2"/>
    </font>
    <font>
      <b/>
      <u val="single"/>
      <sz val="12"/>
      <name val="Arial"/>
      <family val="2"/>
    </font>
    <font>
      <sz val="8"/>
      <name val="Arial"/>
      <family val="0"/>
    </font>
    <font>
      <sz val="8"/>
      <name val="Tahoma"/>
      <family val="2"/>
    </font>
    <font>
      <b/>
      <sz val="8"/>
      <name val="Tahoma"/>
      <family val="2"/>
    </font>
    <font>
      <sz val="12"/>
      <color indexed="48"/>
      <name val="Arial"/>
      <family val="2"/>
    </font>
    <font>
      <sz val="12"/>
      <color indexed="17"/>
      <name val="Arial"/>
      <family val="2"/>
    </font>
    <font>
      <sz val="10"/>
      <color indexed="17"/>
      <name val="Arial"/>
      <family val="2"/>
    </font>
    <font>
      <b/>
      <sz val="10"/>
      <color indexed="17"/>
      <name val="Arial"/>
      <family val="2"/>
    </font>
    <font>
      <sz val="10"/>
      <color indexed="17"/>
      <name val="Verdana"/>
      <family val="2"/>
    </font>
    <font>
      <b/>
      <sz val="12"/>
      <color indexed="17"/>
      <name val="Arial"/>
      <family val="2"/>
    </font>
    <font>
      <b/>
      <i/>
      <u val="single"/>
      <sz val="10"/>
      <name val="Arial"/>
      <family val="2"/>
    </font>
    <font>
      <sz val="8"/>
      <name val="Verdana"/>
      <family val="0"/>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23"/>
        <bgColor indexed="64"/>
      </patternFill>
    </fill>
    <fill>
      <patternFill patternType="solid">
        <fgColor indexed="43"/>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double">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top/>
      <bottom/>
    </border>
    <border>
      <left style="thin">
        <color indexed="8"/>
      </left>
      <right/>
      <top/>
      <bottom style="double">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color indexed="8"/>
      </right>
      <top/>
      <bottom/>
    </border>
    <border>
      <left/>
      <right/>
      <top/>
      <bottom style="thin">
        <color indexed="8"/>
      </bottom>
    </border>
    <border>
      <left style="thin">
        <color indexed="8"/>
      </left>
      <right/>
      <top/>
      <bottom style="thin">
        <color indexed="8"/>
      </bottom>
    </border>
    <border>
      <left/>
      <right style="thin">
        <color indexed="8"/>
      </right>
      <top style="double">
        <color indexed="8"/>
      </top>
      <bottom/>
    </border>
    <border>
      <left/>
      <right style="thin">
        <color indexed="8"/>
      </right>
      <top/>
      <bottom style="thin">
        <color indexed="8"/>
      </bottom>
    </border>
    <border>
      <left/>
      <right/>
      <top style="thin">
        <color indexed="8"/>
      </top>
      <bottom/>
    </border>
    <border>
      <left/>
      <right style="thin">
        <color indexed="8"/>
      </right>
      <top style="thin">
        <color indexed="8"/>
      </top>
      <bottom style="thin">
        <color indexed="8"/>
      </bottom>
    </border>
    <border>
      <left style="thin">
        <color indexed="8"/>
      </left>
      <right style="thin">
        <color indexed="8"/>
      </right>
      <top/>
      <bottom/>
    </border>
    <border>
      <left/>
      <right style="medium">
        <color indexed="8"/>
      </right>
      <top/>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right/>
      <top/>
      <bottom style="medium">
        <color indexed="8"/>
      </bottom>
    </border>
    <border>
      <left/>
      <right style="medium">
        <color indexed="8"/>
      </right>
      <top/>
      <bottom style="medium">
        <color indexed="8"/>
      </bottom>
    </border>
    <border>
      <left style="double">
        <color indexed="8"/>
      </left>
      <right/>
      <top style="double">
        <color indexed="8"/>
      </top>
      <bottom/>
    </border>
    <border>
      <left/>
      <right style="double">
        <color indexed="8"/>
      </right>
      <top style="double">
        <color indexed="8"/>
      </top>
      <bottom/>
    </border>
    <border>
      <left style="double">
        <color indexed="8"/>
      </left>
      <right/>
      <top/>
      <bottom style="double">
        <color indexed="8"/>
      </bottom>
    </border>
    <border>
      <left/>
      <right style="double">
        <color indexed="8"/>
      </right>
      <top/>
      <bottom/>
    </border>
    <border>
      <left style="double">
        <color indexed="8"/>
      </left>
      <right/>
      <top style="double">
        <color indexed="8"/>
      </top>
      <bottom style="double">
        <color indexed="8"/>
      </bottom>
    </border>
    <border>
      <left/>
      <right/>
      <top style="double">
        <color indexed="8"/>
      </top>
      <bottom style="double">
        <color indexed="8"/>
      </bottom>
    </border>
    <border>
      <left/>
      <right style="double">
        <color indexed="8"/>
      </right>
      <top style="double">
        <color indexed="8"/>
      </top>
      <bottom style="double">
        <color indexed="8"/>
      </bottom>
    </border>
    <border>
      <left style="double">
        <color indexed="8"/>
      </left>
      <right/>
      <top/>
      <bottom/>
    </border>
    <border>
      <left/>
      <right style="double">
        <color indexed="8"/>
      </right>
      <top/>
      <bottom style="double">
        <color indexed="8"/>
      </bottom>
    </border>
    <border>
      <left/>
      <right/>
      <top style="double">
        <color indexed="8"/>
      </top>
      <bottom/>
    </border>
    <border>
      <left style="thin"/>
      <right style="thin"/>
      <top style="thin"/>
      <bottom style="thin"/>
    </border>
    <border>
      <left/>
      <right/>
      <top/>
      <bottom style="double"/>
    </border>
    <border>
      <left/>
      <right style="thin"/>
      <top style="double">
        <color indexed="8"/>
      </top>
      <bottom style="thin"/>
    </border>
    <border>
      <left style="thin"/>
      <right style="thin"/>
      <top style="thin"/>
      <bottom/>
    </border>
    <border>
      <left/>
      <right/>
      <top style="thin"/>
      <bottom/>
    </border>
    <border>
      <left/>
      <right style="thin">
        <color indexed="8"/>
      </right>
      <top style="thin"/>
      <bottom/>
    </border>
    <border>
      <left style="thin"/>
      <right/>
      <top/>
      <bottom/>
    </border>
    <border>
      <left style="thin"/>
      <right/>
      <top style="thin"/>
      <bottom style="thin"/>
    </border>
    <border>
      <left/>
      <right style="thin"/>
      <top style="thin"/>
      <bottom style="thin"/>
    </border>
    <border>
      <left style="thin">
        <color indexed="8"/>
      </left>
      <right>
        <color indexed="63"/>
      </right>
      <top>
        <color indexed="63"/>
      </top>
      <bottom>
        <color indexed="63"/>
      </bottom>
    </border>
    <border>
      <left style="thin"/>
      <right style="thin"/>
      <top style="thin"/>
      <bottom>
        <color indexed="63"/>
      </bottom>
    </border>
    <border>
      <left>
        <color indexed="63"/>
      </left>
      <right style="thin">
        <color indexed="8"/>
      </right>
      <top>
        <color indexed="63"/>
      </top>
      <bottom>
        <color indexed="63"/>
      </bottom>
    </border>
    <border>
      <left style="thin">
        <color indexed="8"/>
      </left>
      <right/>
      <top>
        <color indexed="63"/>
      </top>
      <bottom/>
    </border>
    <border>
      <left style="thin"/>
      <right/>
      <top style="thin"/>
      <bottom/>
    </border>
    <border>
      <left/>
      <right style="thin"/>
      <top style="thin"/>
      <bottom/>
    </border>
    <border>
      <left style="thin"/>
      <right/>
      <top/>
      <bottom style="thin"/>
    </border>
    <border>
      <left/>
      <right style="thin"/>
      <top/>
      <bottom style="thin"/>
    </border>
  </borders>
  <cellStyleXfs count="2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ill="0" applyBorder="0" applyAlignment="0" applyProtection="0"/>
    <xf numFmtId="41" fontId="0" fillId="0" borderId="0" applyFont="0" applyFill="0" applyBorder="0" applyAlignment="0" applyProtection="0"/>
    <xf numFmtId="170"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038">
    <xf numFmtId="0" fontId="0" fillId="0" borderId="0" xfId="0" applyAlignment="1">
      <alignment/>
    </xf>
    <xf numFmtId="0" fontId="0" fillId="0" borderId="0" xfId="0" applyAlignment="1">
      <alignment horizontal="center"/>
    </xf>
    <xf numFmtId="0" fontId="18" fillId="0" borderId="10" xfId="0" applyFont="1" applyBorder="1" applyAlignment="1">
      <alignment/>
    </xf>
    <xf numFmtId="0" fontId="0" fillId="0" borderId="10" xfId="0" applyBorder="1" applyAlignment="1">
      <alignment horizontal="center"/>
    </xf>
    <xf numFmtId="49" fontId="18" fillId="0" borderId="10" xfId="42" applyNumberFormat="1" applyFont="1" applyFill="1" applyBorder="1" applyAlignment="1" applyProtection="1">
      <alignment horizontal="right"/>
      <protection/>
    </xf>
    <xf numFmtId="0" fontId="19" fillId="0" borderId="10" xfId="42" applyNumberFormat="1" applyFont="1" applyFill="1" applyBorder="1" applyAlignment="1" applyProtection="1">
      <alignment horizontal="center"/>
      <protection/>
    </xf>
    <xf numFmtId="0" fontId="20" fillId="0" borderId="0" xfId="0" applyFont="1" applyAlignment="1">
      <alignment horizontal="right"/>
    </xf>
    <xf numFmtId="15" fontId="21" fillId="0" borderId="0" xfId="0" applyNumberFormat="1" applyFont="1" applyAlignment="1">
      <alignment horizontal="left"/>
    </xf>
    <xf numFmtId="0" fontId="20" fillId="0" borderId="0" xfId="0" applyFont="1" applyAlignment="1">
      <alignment/>
    </xf>
    <xf numFmtId="20" fontId="21" fillId="0" borderId="0" xfId="0" applyNumberFormat="1" applyFont="1" applyAlignment="1">
      <alignment horizontal="left"/>
    </xf>
    <xf numFmtId="0" fontId="20" fillId="0" borderId="0" xfId="0" applyFont="1" applyAlignment="1">
      <alignment horizontal="center"/>
    </xf>
    <xf numFmtId="0" fontId="0" fillId="0" borderId="0" xfId="0" applyFont="1" applyAlignment="1">
      <alignment horizontal="right"/>
    </xf>
    <xf numFmtId="0" fontId="22" fillId="0" borderId="0" xfId="0" applyFont="1" applyAlignment="1">
      <alignment horizontal="left"/>
    </xf>
    <xf numFmtId="0" fontId="0" fillId="0" borderId="0" xfId="0" applyAlignment="1">
      <alignment horizontal="left"/>
    </xf>
    <xf numFmtId="0" fontId="18" fillId="0" borderId="11" xfId="0" applyFont="1" applyBorder="1" applyAlignment="1">
      <alignment/>
    </xf>
    <xf numFmtId="0" fontId="0" fillId="0" borderId="12" xfId="0" applyBorder="1" applyAlignment="1">
      <alignment horizontal="center"/>
    </xf>
    <xf numFmtId="0" fontId="0" fillId="0" borderId="12" xfId="0" applyFont="1" applyBorder="1" applyAlignment="1">
      <alignment horizontal="right"/>
    </xf>
    <xf numFmtId="14" fontId="22" fillId="0" borderId="13" xfId="0" applyNumberFormat="1" applyFont="1" applyBorder="1" applyAlignment="1">
      <alignment horizontal="center"/>
    </xf>
    <xf numFmtId="0" fontId="0" fillId="0" borderId="0" xfId="0" applyBorder="1" applyAlignment="1">
      <alignment/>
    </xf>
    <xf numFmtId="0" fontId="0" fillId="0" borderId="0" xfId="0" applyFont="1" applyAlignment="1">
      <alignment horizontal="center"/>
    </xf>
    <xf numFmtId="1" fontId="0" fillId="0" borderId="0" xfId="0" applyNumberFormat="1" applyFont="1" applyAlignment="1">
      <alignment horizontal="center"/>
    </xf>
    <xf numFmtId="0" fontId="0" fillId="0" borderId="0" xfId="0" applyBorder="1" applyAlignment="1">
      <alignment horizontal="center"/>
    </xf>
    <xf numFmtId="0" fontId="0" fillId="0" borderId="0" xfId="0" applyFont="1" applyBorder="1" applyAlignment="1">
      <alignment horizontal="right"/>
    </xf>
    <xf numFmtId="1" fontId="0" fillId="0" borderId="14" xfId="0" applyNumberFormat="1" applyBorder="1" applyAlignment="1">
      <alignment horizontal="center"/>
    </xf>
    <xf numFmtId="2" fontId="0" fillId="0" borderId="14" xfId="0" applyNumberFormat="1" applyBorder="1" applyAlignment="1">
      <alignment horizontal="center"/>
    </xf>
    <xf numFmtId="0" fontId="0" fillId="0" borderId="14" xfId="0" applyBorder="1" applyAlignment="1">
      <alignment horizontal="center"/>
    </xf>
    <xf numFmtId="0" fontId="0" fillId="0" borderId="0" xfId="0" applyFont="1" applyBorder="1" applyAlignment="1">
      <alignment horizontal="center"/>
    </xf>
    <xf numFmtId="1" fontId="0" fillId="24" borderId="0" xfId="0" applyNumberFormat="1" applyFont="1" applyFill="1" applyBorder="1" applyAlignment="1">
      <alignment horizontal="center"/>
    </xf>
    <xf numFmtId="2" fontId="0" fillId="0" borderId="0" xfId="0" applyNumberFormat="1" applyBorder="1" applyAlignment="1">
      <alignment horizontal="center"/>
    </xf>
    <xf numFmtId="0" fontId="0" fillId="0" borderId="0" xfId="0" applyFont="1" applyAlignment="1">
      <alignment horizontal="center"/>
    </xf>
    <xf numFmtId="2" fontId="0" fillId="0" borderId="0" xfId="0" applyNumberFormat="1" applyFont="1" applyAlignment="1">
      <alignment horizontal="center"/>
    </xf>
    <xf numFmtId="172" fontId="22" fillId="0" borderId="0" xfId="0" applyNumberFormat="1" applyFont="1" applyAlignment="1">
      <alignment horizontal="center"/>
    </xf>
    <xf numFmtId="1" fontId="0" fillId="0" borderId="0" xfId="0" applyNumberFormat="1" applyFont="1" applyAlignment="1">
      <alignment horizontal="center"/>
    </xf>
    <xf numFmtId="0" fontId="22" fillId="0" borderId="0" xfId="0" applyFont="1" applyBorder="1" applyAlignment="1">
      <alignment horizontal="center"/>
    </xf>
    <xf numFmtId="1" fontId="22" fillId="0" borderId="0" xfId="0" applyNumberFormat="1" applyFont="1" applyAlignment="1">
      <alignment horizontal="center"/>
    </xf>
    <xf numFmtId="0" fontId="22" fillId="0" borderId="0" xfId="0" applyFont="1" applyAlignment="1">
      <alignment horizontal="center"/>
    </xf>
    <xf numFmtId="1" fontId="0" fillId="0" borderId="14" xfId="0" applyNumberFormat="1" applyFont="1" applyBorder="1" applyAlignment="1">
      <alignment horizontal="center"/>
    </xf>
    <xf numFmtId="1" fontId="0" fillId="0" borderId="0" xfId="0" applyNumberFormat="1" applyAlignment="1">
      <alignment/>
    </xf>
    <xf numFmtId="0" fontId="0" fillId="0" borderId="14" xfId="0" applyBorder="1" applyAlignment="1">
      <alignment/>
    </xf>
    <xf numFmtId="1" fontId="0" fillId="24" borderId="0" xfId="0" applyNumberFormat="1" applyFont="1" applyFill="1" applyBorder="1" applyAlignment="1">
      <alignment horizontal="center"/>
    </xf>
    <xf numFmtId="1" fontId="0" fillId="0" borderId="0" xfId="0" applyNumberFormat="1" applyFont="1" applyFill="1" applyBorder="1" applyAlignment="1">
      <alignment horizontal="center"/>
    </xf>
    <xf numFmtId="173" fontId="0" fillId="0" borderId="0" xfId="0" applyNumberFormat="1" applyFont="1" applyAlignment="1">
      <alignment horizontal="center"/>
    </xf>
    <xf numFmtId="174" fontId="0" fillId="0" borderId="0" xfId="0" applyNumberFormat="1" applyAlignment="1">
      <alignment horizontal="center"/>
    </xf>
    <xf numFmtId="0" fontId="23" fillId="0" borderId="0" xfId="0" applyFont="1" applyAlignment="1">
      <alignment/>
    </xf>
    <xf numFmtId="173" fontId="0" fillId="0" borderId="14" xfId="0" applyNumberFormat="1" applyFont="1" applyBorder="1" applyAlignment="1">
      <alignment horizontal="center"/>
    </xf>
    <xf numFmtId="0" fontId="0" fillId="0" borderId="0" xfId="0" applyFont="1" applyAlignment="1">
      <alignment horizontal="right"/>
    </xf>
    <xf numFmtId="1" fontId="0" fillId="0" borderId="14" xfId="0" applyNumberFormat="1" applyFont="1" applyBorder="1" applyAlignment="1">
      <alignment horizontal="center"/>
    </xf>
    <xf numFmtId="0" fontId="24" fillId="0" borderId="0" xfId="0" applyFont="1" applyBorder="1" applyAlignment="1">
      <alignment horizontal="left"/>
    </xf>
    <xf numFmtId="0" fontId="24" fillId="0" borderId="0" xfId="0" applyFont="1" applyAlignment="1">
      <alignment horizontal="right"/>
    </xf>
    <xf numFmtId="0" fontId="0" fillId="0" borderId="0" xfId="0" applyFont="1" applyBorder="1" applyAlignment="1">
      <alignment horizontal="left"/>
    </xf>
    <xf numFmtId="0" fontId="24" fillId="0" borderId="0" xfId="0" applyFont="1" applyAlignment="1">
      <alignment/>
    </xf>
    <xf numFmtId="0" fontId="24" fillId="0" borderId="0" xfId="0" applyFont="1" applyAlignment="1">
      <alignment horizontal="left"/>
    </xf>
    <xf numFmtId="0" fontId="24" fillId="0" borderId="0" xfId="0" applyFont="1" applyBorder="1" applyAlignment="1">
      <alignment horizontal="right"/>
    </xf>
    <xf numFmtId="176" fontId="24" fillId="0" borderId="0" xfId="0" applyNumberFormat="1" applyFont="1" applyBorder="1" applyAlignment="1">
      <alignment horizontal="center"/>
    </xf>
    <xf numFmtId="0" fontId="22" fillId="0" borderId="12" xfId="0" applyFont="1" applyBorder="1" applyAlignment="1">
      <alignment horizontal="center"/>
    </xf>
    <xf numFmtId="0" fontId="0" fillId="0" borderId="0" xfId="0" applyFont="1" applyFill="1" applyBorder="1" applyAlignment="1">
      <alignment horizontal="right"/>
    </xf>
    <xf numFmtId="177" fontId="22" fillId="0" borderId="0" xfId="0" applyNumberFormat="1" applyFont="1" applyAlignment="1">
      <alignment horizontal="center"/>
    </xf>
    <xf numFmtId="0" fontId="24" fillId="0" borderId="0" xfId="0" applyFont="1" applyBorder="1" applyAlignment="1">
      <alignment/>
    </xf>
    <xf numFmtId="0" fontId="0" fillId="0" borderId="0" xfId="0" applyFont="1" applyFill="1" applyAlignment="1">
      <alignment horizontal="right"/>
    </xf>
    <xf numFmtId="14" fontId="22" fillId="0" borderId="0" xfId="0" applyNumberFormat="1" applyFont="1" applyFill="1" applyAlignment="1">
      <alignment horizontal="center"/>
    </xf>
    <xf numFmtId="0" fontId="0" fillId="0" borderId="0" xfId="0" applyFill="1" applyAlignment="1">
      <alignment/>
    </xf>
    <xf numFmtId="0" fontId="0" fillId="0" borderId="0" xfId="0" applyFill="1" applyAlignment="1">
      <alignment horizontal="center"/>
    </xf>
    <xf numFmtId="0" fontId="0" fillId="0" borderId="0" xfId="0" applyFont="1" applyFill="1" applyAlignment="1">
      <alignment/>
    </xf>
    <xf numFmtId="49" fontId="22" fillId="0" borderId="0" xfId="0" applyNumberFormat="1" applyFont="1" applyFill="1" applyAlignment="1">
      <alignment horizontal="center"/>
    </xf>
    <xf numFmtId="1" fontId="22" fillId="0" borderId="0" xfId="0" applyNumberFormat="1" applyFont="1" applyFill="1" applyAlignment="1">
      <alignment horizontal="center"/>
    </xf>
    <xf numFmtId="1" fontId="0" fillId="0" borderId="0" xfId="0" applyNumberFormat="1" applyAlignment="1">
      <alignment horizontal="center"/>
    </xf>
    <xf numFmtId="0" fontId="0" fillId="0" borderId="0" xfId="0" applyFont="1" applyBorder="1" applyAlignment="1">
      <alignment horizontal="center"/>
    </xf>
    <xf numFmtId="0" fontId="25" fillId="0" borderId="0" xfId="0" applyFont="1" applyBorder="1" applyAlignment="1">
      <alignment horizontal="center"/>
    </xf>
    <xf numFmtId="49" fontId="22" fillId="0" borderId="0" xfId="0" applyNumberFormat="1" applyFont="1" applyFill="1" applyBorder="1" applyAlignment="1">
      <alignment horizontal="center"/>
    </xf>
    <xf numFmtId="1" fontId="22" fillId="0" borderId="0" xfId="0" applyNumberFormat="1" applyFont="1" applyFill="1" applyBorder="1" applyAlignment="1">
      <alignment horizontal="center"/>
    </xf>
    <xf numFmtId="179" fontId="22" fillId="0" borderId="0" xfId="0" applyNumberFormat="1" applyFont="1" applyBorder="1" applyAlignment="1">
      <alignment horizontal="center"/>
    </xf>
    <xf numFmtId="0" fontId="26" fillId="0" borderId="14" xfId="0" applyFont="1" applyBorder="1" applyAlignment="1">
      <alignment horizontal="right"/>
    </xf>
    <xf numFmtId="180" fontId="22" fillId="0" borderId="14" xfId="0" applyNumberFormat="1" applyFont="1" applyBorder="1" applyAlignment="1">
      <alignment horizontal="center"/>
    </xf>
    <xf numFmtId="0" fontId="0" fillId="0" borderId="14" xfId="0" applyFont="1" applyBorder="1" applyAlignment="1">
      <alignment horizontal="right"/>
    </xf>
    <xf numFmtId="180" fontId="22" fillId="0" borderId="15" xfId="0" applyNumberFormat="1" applyFont="1" applyBorder="1" applyAlignment="1">
      <alignment horizontal="center"/>
    </xf>
    <xf numFmtId="177" fontId="22" fillId="0" borderId="14" xfId="0" applyNumberFormat="1" applyFont="1" applyBorder="1" applyAlignment="1">
      <alignment horizontal="center"/>
    </xf>
    <xf numFmtId="180" fontId="26" fillId="0" borderId="14" xfId="0" applyNumberFormat="1" applyFont="1" applyBorder="1" applyAlignment="1">
      <alignment horizontal="center"/>
    </xf>
    <xf numFmtId="14" fontId="0" fillId="0" borderId="0" xfId="0" applyNumberFormat="1" applyAlignment="1">
      <alignment horizontal="center"/>
    </xf>
    <xf numFmtId="0" fontId="22" fillId="0" borderId="0" xfId="0" applyFont="1" applyFill="1" applyBorder="1" applyAlignment="1">
      <alignment horizontal="center"/>
    </xf>
    <xf numFmtId="181" fontId="22" fillId="0" borderId="16" xfId="0" applyNumberFormat="1" applyFont="1" applyFill="1" applyBorder="1" applyAlignment="1">
      <alignment horizontal="center"/>
    </xf>
    <xf numFmtId="0" fontId="22" fillId="0" borderId="0" xfId="0" applyFont="1" applyFill="1" applyAlignment="1">
      <alignment/>
    </xf>
    <xf numFmtId="2" fontId="22" fillId="0" borderId="14" xfId="0" applyNumberFormat="1" applyFont="1" applyFill="1" applyBorder="1" applyAlignment="1">
      <alignment horizontal="center"/>
    </xf>
    <xf numFmtId="181" fontId="22" fillId="0" borderId="15" xfId="0" applyNumberFormat="1" applyFont="1" applyFill="1" applyBorder="1" applyAlignment="1">
      <alignment horizontal="center"/>
    </xf>
    <xf numFmtId="181" fontId="22" fillId="0" borderId="14" xfId="0" applyNumberFormat="1" applyFont="1" applyFill="1" applyBorder="1" applyAlignment="1">
      <alignment horizontal="center"/>
    </xf>
    <xf numFmtId="0" fontId="27" fillId="0" borderId="0" xfId="0" applyFont="1" applyAlignment="1">
      <alignment horizontal="left"/>
    </xf>
    <xf numFmtId="15" fontId="21" fillId="0" borderId="0" xfId="0" applyNumberFormat="1" applyFont="1" applyAlignment="1">
      <alignment horizontal="center"/>
    </xf>
    <xf numFmtId="0" fontId="18" fillId="0" borderId="0" xfId="0" applyFont="1" applyAlignment="1">
      <alignment horizontal="center"/>
    </xf>
    <xf numFmtId="0" fontId="27" fillId="0" borderId="0" xfId="0" applyFont="1" applyAlignment="1">
      <alignment horizontal="right"/>
    </xf>
    <xf numFmtId="0" fontId="27" fillId="0" borderId="0" xfId="0" applyNumberFormat="1" applyFont="1" applyAlignment="1">
      <alignment horizontal="left"/>
    </xf>
    <xf numFmtId="0" fontId="18" fillId="0" borderId="0" xfId="0" applyFont="1" applyAlignment="1">
      <alignment/>
    </xf>
    <xf numFmtId="14" fontId="28" fillId="0" borderId="0" xfId="0" applyNumberFormat="1" applyFont="1" applyAlignment="1">
      <alignment horizontal="center"/>
    </xf>
    <xf numFmtId="0" fontId="19" fillId="0" borderId="0" xfId="0" applyFont="1" applyAlignment="1">
      <alignment horizontal="center"/>
    </xf>
    <xf numFmtId="0" fontId="18" fillId="0" borderId="0" xfId="0" applyFont="1" applyBorder="1" applyAlignment="1">
      <alignment horizontal="center"/>
    </xf>
    <xf numFmtId="0" fontId="31" fillId="0" borderId="0" xfId="0" applyFont="1" applyAlignment="1">
      <alignment horizontal="center"/>
    </xf>
    <xf numFmtId="0" fontId="31" fillId="0" borderId="0" xfId="0" applyFont="1" applyAlignment="1">
      <alignment/>
    </xf>
    <xf numFmtId="0" fontId="32" fillId="0" borderId="0" xfId="0" applyFont="1" applyAlignment="1">
      <alignment/>
    </xf>
    <xf numFmtId="0" fontId="31" fillId="0" borderId="0" xfId="0" applyFont="1" applyAlignment="1">
      <alignment horizontal="left"/>
    </xf>
    <xf numFmtId="0" fontId="31" fillId="0" borderId="0" xfId="0" applyFont="1" applyBorder="1" applyAlignment="1">
      <alignment horizontal="center"/>
    </xf>
    <xf numFmtId="1" fontId="20" fillId="0" borderId="0" xfId="0" applyNumberFormat="1" applyFont="1" applyAlignment="1">
      <alignment horizontal="center"/>
    </xf>
    <xf numFmtId="0" fontId="20" fillId="0" borderId="0" xfId="0" applyFont="1" applyBorder="1" applyAlignment="1">
      <alignment/>
    </xf>
    <xf numFmtId="0" fontId="20" fillId="0" borderId="0" xfId="0" applyFont="1" applyBorder="1" applyAlignment="1">
      <alignment horizontal="center"/>
    </xf>
    <xf numFmtId="0" fontId="32" fillId="0" borderId="0" xfId="0" applyFont="1" applyBorder="1" applyAlignment="1">
      <alignment/>
    </xf>
    <xf numFmtId="177" fontId="20" fillId="0" borderId="0" xfId="0" applyNumberFormat="1" applyFont="1" applyBorder="1" applyAlignment="1">
      <alignment/>
    </xf>
    <xf numFmtId="0" fontId="21" fillId="0" borderId="0" xfId="0" applyFont="1" applyAlignment="1">
      <alignment horizontal="center"/>
    </xf>
    <xf numFmtId="0" fontId="20" fillId="0" borderId="0" xfId="0" applyFont="1" applyAlignment="1">
      <alignment horizontal="right"/>
    </xf>
    <xf numFmtId="177" fontId="20" fillId="0" borderId="0" xfId="0" applyNumberFormat="1" applyFont="1" applyAlignment="1">
      <alignment/>
    </xf>
    <xf numFmtId="0" fontId="33" fillId="0" borderId="0" xfId="0" applyFont="1" applyAlignment="1">
      <alignment horizontal="left"/>
    </xf>
    <xf numFmtId="0" fontId="20" fillId="0" borderId="0" xfId="0" applyFont="1" applyFill="1" applyAlignment="1">
      <alignment horizontal="center"/>
    </xf>
    <xf numFmtId="0" fontId="34" fillId="0" borderId="0" xfId="0" applyFont="1" applyAlignment="1">
      <alignment horizontal="center"/>
    </xf>
    <xf numFmtId="0" fontId="20" fillId="0" borderId="0" xfId="0" applyFont="1" applyFill="1" applyAlignment="1">
      <alignment/>
    </xf>
    <xf numFmtId="0" fontId="32" fillId="0" borderId="0" xfId="0" applyFont="1" applyFill="1" applyAlignment="1">
      <alignment horizontal="left"/>
    </xf>
    <xf numFmtId="0" fontId="32" fillId="0" borderId="0" xfId="0" applyFont="1" applyFill="1" applyAlignment="1">
      <alignment/>
    </xf>
    <xf numFmtId="0" fontId="20" fillId="0" borderId="0" xfId="0" applyFont="1" applyFill="1" applyBorder="1" applyAlignment="1">
      <alignment/>
    </xf>
    <xf numFmtId="0" fontId="20" fillId="0" borderId="0" xfId="0" applyFont="1" applyFill="1" applyBorder="1" applyAlignment="1">
      <alignment horizontal="center"/>
    </xf>
    <xf numFmtId="0" fontId="32" fillId="0" borderId="0" xfId="0" applyFont="1" applyFill="1" applyBorder="1" applyAlignment="1">
      <alignment horizontal="center"/>
    </xf>
    <xf numFmtId="177" fontId="20" fillId="0" borderId="0" xfId="0" applyNumberFormat="1" applyFont="1" applyBorder="1" applyAlignment="1">
      <alignment horizontal="center"/>
    </xf>
    <xf numFmtId="0" fontId="20" fillId="0" borderId="0" xfId="0" applyFont="1" applyAlignment="1">
      <alignment horizontal="left"/>
    </xf>
    <xf numFmtId="0" fontId="32" fillId="0" borderId="0" xfId="0" applyFont="1" applyAlignment="1">
      <alignment horizontal="left"/>
    </xf>
    <xf numFmtId="1" fontId="20" fillId="0" borderId="0" xfId="0" applyNumberFormat="1" applyFont="1" applyAlignment="1">
      <alignment horizontal="right"/>
    </xf>
    <xf numFmtId="1" fontId="32" fillId="24" borderId="0" xfId="0" applyNumberFormat="1" applyFont="1" applyFill="1" applyAlignment="1">
      <alignment horizontal="center"/>
    </xf>
    <xf numFmtId="1" fontId="20" fillId="0" borderId="0" xfId="0" applyNumberFormat="1" applyFont="1" applyAlignment="1">
      <alignment/>
    </xf>
    <xf numFmtId="0" fontId="20" fillId="0" borderId="0" xfId="0" applyFont="1" applyBorder="1" applyAlignment="1">
      <alignment horizontal="right"/>
    </xf>
    <xf numFmtId="1" fontId="20" fillId="0" borderId="0" xfId="0" applyNumberFormat="1" applyFont="1" applyBorder="1" applyAlignment="1">
      <alignment horizontal="center"/>
    </xf>
    <xf numFmtId="177" fontId="35" fillId="0" borderId="0" xfId="0" applyNumberFormat="1" applyFont="1" applyFill="1" applyBorder="1" applyAlignment="1">
      <alignment horizontal="center"/>
    </xf>
    <xf numFmtId="0" fontId="32" fillId="0" borderId="0" xfId="0" applyFont="1" applyAlignment="1">
      <alignment horizontal="center"/>
    </xf>
    <xf numFmtId="0" fontId="36" fillId="0" borderId="0" xfId="0" applyFont="1" applyAlignment="1">
      <alignment horizontal="right"/>
    </xf>
    <xf numFmtId="0" fontId="32" fillId="0" borderId="0" xfId="0" applyFont="1" applyBorder="1" applyAlignment="1">
      <alignment horizontal="center"/>
    </xf>
    <xf numFmtId="0" fontId="36" fillId="0" borderId="0" xfId="0" applyFont="1" applyAlignment="1">
      <alignment horizontal="left"/>
    </xf>
    <xf numFmtId="0" fontId="21" fillId="0" borderId="0" xfId="0" applyFont="1" applyAlignment="1">
      <alignment horizontal="left"/>
    </xf>
    <xf numFmtId="1" fontId="31" fillId="0" borderId="0" xfId="0" applyNumberFormat="1" applyFont="1" applyAlignment="1">
      <alignment horizontal="center"/>
    </xf>
    <xf numFmtId="177" fontId="20" fillId="0" borderId="0" xfId="0" applyNumberFormat="1" applyFont="1" applyAlignment="1">
      <alignment horizontal="center"/>
    </xf>
    <xf numFmtId="0" fontId="32" fillId="0" borderId="0" xfId="0" applyFont="1" applyBorder="1" applyAlignment="1">
      <alignment horizontal="left"/>
    </xf>
    <xf numFmtId="1" fontId="20" fillId="0" borderId="0" xfId="0" applyNumberFormat="1" applyFont="1" applyFill="1" applyAlignment="1">
      <alignment horizontal="center"/>
    </xf>
    <xf numFmtId="1" fontId="20" fillId="0" borderId="0" xfId="0" applyNumberFormat="1" applyFont="1" applyAlignment="1">
      <alignment horizontal="left"/>
    </xf>
    <xf numFmtId="0" fontId="20" fillId="0" borderId="0" xfId="0" applyFont="1" applyFill="1" applyAlignment="1">
      <alignment horizontal="right"/>
    </xf>
    <xf numFmtId="0" fontId="20" fillId="0" borderId="0" xfId="0" applyFont="1" applyBorder="1" applyAlignment="1">
      <alignment horizontal="left"/>
    </xf>
    <xf numFmtId="0" fontId="35" fillId="0" borderId="0" xfId="0" applyFont="1" applyBorder="1" applyAlignment="1">
      <alignment horizontal="right"/>
    </xf>
    <xf numFmtId="182" fontId="35" fillId="14" borderId="0" xfId="42" applyNumberFormat="1" applyFont="1" applyFill="1" applyBorder="1" applyAlignment="1" applyProtection="1">
      <alignment horizontal="center"/>
      <protection/>
    </xf>
    <xf numFmtId="0" fontId="35" fillId="0" borderId="0" xfId="0" applyFont="1" applyBorder="1" applyAlignment="1">
      <alignment horizontal="left"/>
    </xf>
    <xf numFmtId="0" fontId="35" fillId="0" borderId="0" xfId="0" applyFont="1" applyBorder="1" applyAlignment="1">
      <alignment/>
    </xf>
    <xf numFmtId="177" fontId="35" fillId="0" borderId="0" xfId="0" applyNumberFormat="1" applyFont="1" applyBorder="1" applyAlignment="1">
      <alignment horizontal="right"/>
    </xf>
    <xf numFmtId="177" fontId="35" fillId="0" borderId="0" xfId="0" applyNumberFormat="1" applyFont="1" applyBorder="1" applyAlignment="1">
      <alignment horizontal="center"/>
    </xf>
    <xf numFmtId="0" fontId="35" fillId="0" borderId="0" xfId="0" applyFont="1" applyBorder="1" applyAlignment="1">
      <alignment horizontal="center"/>
    </xf>
    <xf numFmtId="9" fontId="32" fillId="0" borderId="0" xfId="226" applyFont="1" applyFill="1" applyBorder="1" applyAlignment="1" applyProtection="1">
      <alignment horizontal="center"/>
      <protection/>
    </xf>
    <xf numFmtId="0" fontId="0" fillId="0" borderId="0" xfId="0" applyFont="1" applyAlignment="1">
      <alignment horizontal="left"/>
    </xf>
    <xf numFmtId="0" fontId="37" fillId="0" borderId="0" xfId="0" applyFont="1" applyBorder="1" applyAlignment="1">
      <alignment horizontal="center"/>
    </xf>
    <xf numFmtId="176" fontId="35" fillId="0" borderId="0" xfId="0" applyNumberFormat="1" applyFont="1" applyAlignment="1">
      <alignment horizontal="right"/>
    </xf>
    <xf numFmtId="3" fontId="35" fillId="0" borderId="0" xfId="0" applyNumberFormat="1" applyFont="1" applyFill="1" applyBorder="1" applyAlignment="1">
      <alignment horizontal="right"/>
    </xf>
    <xf numFmtId="176" fontId="20" fillId="0" borderId="0" xfId="0" applyNumberFormat="1" applyFont="1" applyAlignment="1">
      <alignment horizontal="center"/>
    </xf>
    <xf numFmtId="176" fontId="38" fillId="0" borderId="0" xfId="0" applyNumberFormat="1" applyFont="1" applyAlignment="1">
      <alignment/>
    </xf>
    <xf numFmtId="176" fontId="20" fillId="0" borderId="0" xfId="0" applyNumberFormat="1" applyFont="1" applyAlignment="1">
      <alignment horizontal="center" vertical="center"/>
    </xf>
    <xf numFmtId="183" fontId="20" fillId="0" borderId="0" xfId="0" applyNumberFormat="1" applyFont="1" applyAlignment="1">
      <alignment horizontal="left"/>
    </xf>
    <xf numFmtId="171" fontId="20" fillId="0" borderId="0" xfId="0" applyNumberFormat="1" applyFont="1" applyAlignment="1">
      <alignment/>
    </xf>
    <xf numFmtId="176" fontId="35" fillId="0" borderId="0" xfId="0" applyNumberFormat="1" applyFont="1" applyBorder="1" applyAlignment="1">
      <alignment horizontal="center"/>
    </xf>
    <xf numFmtId="177" fontId="20" fillId="15" borderId="0" xfId="0" applyNumberFormat="1" applyFont="1" applyFill="1" applyBorder="1" applyAlignment="1">
      <alignment horizontal="center"/>
    </xf>
    <xf numFmtId="182" fontId="35" fillId="0" borderId="0" xfId="42" applyNumberFormat="1" applyFont="1" applyFill="1" applyBorder="1" applyAlignment="1" applyProtection="1">
      <alignment horizontal="center"/>
      <protection/>
    </xf>
    <xf numFmtId="176" fontId="20" fillId="0" borderId="0" xfId="0" applyNumberFormat="1" applyFont="1" applyBorder="1" applyAlignment="1">
      <alignment horizontal="center"/>
    </xf>
    <xf numFmtId="14" fontId="35" fillId="0" borderId="0" xfId="0" applyNumberFormat="1" applyFont="1" applyBorder="1" applyAlignment="1">
      <alignment horizontal="right"/>
    </xf>
    <xf numFmtId="0" fontId="35" fillId="0" borderId="0" xfId="0" applyFont="1" applyAlignment="1">
      <alignment horizontal="center"/>
    </xf>
    <xf numFmtId="0" fontId="35" fillId="0" borderId="0" xfId="0" applyFont="1" applyAlignment="1">
      <alignment/>
    </xf>
    <xf numFmtId="2" fontId="20" fillId="0" borderId="0" xfId="0" applyNumberFormat="1" applyFont="1" applyBorder="1" applyAlignment="1">
      <alignment horizontal="center"/>
    </xf>
    <xf numFmtId="1" fontId="20" fillId="0" borderId="0" xfId="0" applyNumberFormat="1" applyFont="1" applyBorder="1" applyAlignment="1">
      <alignment/>
    </xf>
    <xf numFmtId="0" fontId="39" fillId="0" borderId="0" xfId="0" applyFont="1" applyBorder="1" applyAlignment="1">
      <alignment horizontal="center"/>
    </xf>
    <xf numFmtId="0" fontId="40" fillId="0" borderId="0" xfId="0" applyFont="1" applyBorder="1" applyAlignment="1">
      <alignment horizontal="center"/>
    </xf>
    <xf numFmtId="1" fontId="35" fillId="0" borderId="0" xfId="0" applyNumberFormat="1" applyFont="1" applyBorder="1" applyAlignment="1">
      <alignment horizontal="center"/>
    </xf>
    <xf numFmtId="0" fontId="31" fillId="0" borderId="0" xfId="0" applyFont="1" applyBorder="1" applyAlignment="1">
      <alignment horizontal="left"/>
    </xf>
    <xf numFmtId="2" fontId="35" fillId="0" borderId="0" xfId="0" applyNumberFormat="1" applyFont="1" applyBorder="1" applyAlignment="1">
      <alignment horizontal="center"/>
    </xf>
    <xf numFmtId="0" fontId="35" fillId="0" borderId="10" xfId="0" applyFont="1" applyBorder="1" applyAlignment="1">
      <alignment horizontal="center"/>
    </xf>
    <xf numFmtId="0" fontId="35" fillId="0" borderId="10" xfId="0" applyFont="1" applyBorder="1" applyAlignment="1">
      <alignment/>
    </xf>
    <xf numFmtId="0" fontId="20" fillId="0" borderId="10" xfId="0" applyFont="1" applyBorder="1" applyAlignment="1">
      <alignment/>
    </xf>
    <xf numFmtId="0" fontId="20" fillId="0" borderId="10" xfId="0" applyFont="1" applyBorder="1" applyAlignment="1">
      <alignment horizontal="right"/>
    </xf>
    <xf numFmtId="2" fontId="31" fillId="0" borderId="10" xfId="0" applyNumberFormat="1" applyFont="1" applyBorder="1" applyAlignment="1">
      <alignment horizontal="center"/>
    </xf>
    <xf numFmtId="0" fontId="31" fillId="0" borderId="10" xfId="0" applyFont="1" applyBorder="1" applyAlignment="1">
      <alignment horizontal="left"/>
    </xf>
    <xf numFmtId="0" fontId="20" fillId="0" borderId="10" xfId="0" applyFont="1" applyBorder="1" applyAlignment="1">
      <alignment horizontal="center"/>
    </xf>
    <xf numFmtId="177" fontId="35" fillId="0" borderId="10" xfId="0" applyNumberFormat="1" applyFont="1" applyBorder="1" applyAlignment="1">
      <alignment horizontal="center"/>
    </xf>
    <xf numFmtId="2" fontId="35" fillId="0" borderId="10" xfId="0" applyNumberFormat="1" applyFont="1" applyBorder="1" applyAlignment="1">
      <alignment horizontal="center"/>
    </xf>
    <xf numFmtId="176" fontId="41" fillId="0" borderId="17" xfId="0" applyNumberFormat="1" applyFont="1" applyBorder="1" applyAlignment="1">
      <alignment horizontal="right"/>
    </xf>
    <xf numFmtId="0" fontId="20" fillId="0" borderId="17" xfId="0" applyFont="1" applyBorder="1" applyAlignment="1">
      <alignment/>
    </xf>
    <xf numFmtId="0" fontId="35" fillId="0" borderId="17" xfId="0" applyFont="1" applyBorder="1" applyAlignment="1">
      <alignment horizontal="left"/>
    </xf>
    <xf numFmtId="0" fontId="21" fillId="0" borderId="17" xfId="0" applyFont="1" applyBorder="1" applyAlignment="1">
      <alignment horizontal="center"/>
    </xf>
    <xf numFmtId="0" fontId="33" fillId="0" borderId="0" xfId="0" applyFont="1" applyFill="1" applyAlignment="1">
      <alignment horizontal="center"/>
    </xf>
    <xf numFmtId="0" fontId="21" fillId="0" borderId="0" xfId="0" applyFont="1" applyBorder="1" applyAlignment="1">
      <alignment horizontal="center"/>
    </xf>
    <xf numFmtId="0" fontId="33" fillId="0" borderId="0" xfId="0" applyFont="1" applyAlignment="1">
      <alignment horizontal="center"/>
    </xf>
    <xf numFmtId="0" fontId="33" fillId="0" borderId="17" xfId="0" applyFont="1" applyFill="1" applyBorder="1" applyAlignment="1">
      <alignment horizontal="center"/>
    </xf>
    <xf numFmtId="0" fontId="33" fillId="0" borderId="17" xfId="0" applyFont="1" applyBorder="1" applyAlignment="1">
      <alignment horizontal="center"/>
    </xf>
    <xf numFmtId="0" fontId="21" fillId="0" borderId="10" xfId="0" applyFont="1" applyBorder="1" applyAlignment="1">
      <alignment horizontal="center"/>
    </xf>
    <xf numFmtId="0" fontId="21" fillId="0" borderId="18" xfId="0" applyFont="1" applyBorder="1" applyAlignment="1">
      <alignment horizontal="center"/>
    </xf>
    <xf numFmtId="0" fontId="33" fillId="0" borderId="10" xfId="0" applyFont="1" applyFill="1" applyBorder="1" applyAlignment="1">
      <alignment horizontal="center"/>
    </xf>
    <xf numFmtId="0" fontId="33" fillId="0" borderId="10" xfId="0" applyFont="1" applyBorder="1" applyAlignment="1">
      <alignment horizontal="center"/>
    </xf>
    <xf numFmtId="0" fontId="33" fillId="0" borderId="18" xfId="0" applyFont="1" applyFill="1" applyBorder="1" applyAlignment="1">
      <alignment horizontal="center"/>
    </xf>
    <xf numFmtId="0" fontId="33" fillId="0" borderId="18" xfId="0" applyFont="1" applyBorder="1" applyAlignment="1">
      <alignment horizontal="center"/>
    </xf>
    <xf numFmtId="0" fontId="33" fillId="0" borderId="0" xfId="0" applyFont="1" applyFill="1" applyBorder="1" applyAlignment="1">
      <alignment horizontal="center"/>
    </xf>
    <xf numFmtId="0" fontId="33" fillId="0" borderId="0" xfId="0" applyFont="1" applyBorder="1" applyAlignment="1">
      <alignment horizontal="center"/>
    </xf>
    <xf numFmtId="177" fontId="36" fillId="0" borderId="0" xfId="0" applyNumberFormat="1" applyFont="1" applyFill="1" applyAlignment="1">
      <alignment horizontal="center"/>
    </xf>
    <xf numFmtId="177" fontId="21" fillId="0" borderId="0" xfId="0" applyNumberFormat="1" applyFont="1" applyAlignment="1">
      <alignment horizontal="center"/>
    </xf>
    <xf numFmtId="0" fontId="21" fillId="0" borderId="0" xfId="0" applyFont="1" applyAlignment="1">
      <alignment/>
    </xf>
    <xf numFmtId="1" fontId="21" fillId="0" borderId="0" xfId="0" applyNumberFormat="1" applyFont="1" applyAlignment="1">
      <alignment horizontal="center"/>
    </xf>
    <xf numFmtId="0" fontId="20" fillId="0" borderId="17" xfId="0" applyFont="1" applyBorder="1" applyAlignment="1">
      <alignment horizontal="left"/>
    </xf>
    <xf numFmtId="177" fontId="42" fillId="0" borderId="0" xfId="0" applyNumberFormat="1" applyFont="1" applyFill="1" applyAlignment="1">
      <alignment/>
    </xf>
    <xf numFmtId="177" fontId="20" fillId="0" borderId="0" xfId="44" applyNumberFormat="1" applyFont="1" applyFill="1" applyBorder="1" applyAlignment="1" applyProtection="1">
      <alignment horizontal="left"/>
      <protection/>
    </xf>
    <xf numFmtId="177" fontId="21" fillId="0" borderId="0" xfId="0" applyNumberFormat="1" applyFont="1" applyFill="1" applyAlignment="1">
      <alignment horizontal="left"/>
    </xf>
    <xf numFmtId="0" fontId="32" fillId="0" borderId="17" xfId="0" applyFont="1" applyFill="1" applyBorder="1" applyAlignment="1">
      <alignment horizontal="center"/>
    </xf>
    <xf numFmtId="2" fontId="20" fillId="0" borderId="17" xfId="0" applyNumberFormat="1" applyFont="1" applyBorder="1" applyAlignment="1">
      <alignment horizontal="center"/>
    </xf>
    <xf numFmtId="177" fontId="36" fillId="0" borderId="0" xfId="0" applyNumberFormat="1" applyFont="1" applyFill="1" applyBorder="1" applyAlignment="1">
      <alignment horizontal="center"/>
    </xf>
    <xf numFmtId="177" fontId="20" fillId="0" borderId="0" xfId="0" applyNumberFormat="1" applyFont="1" applyFill="1" applyBorder="1" applyAlignment="1">
      <alignment horizontal="center"/>
    </xf>
    <xf numFmtId="1" fontId="21" fillId="0" borderId="0" xfId="0" applyNumberFormat="1" applyFont="1" applyBorder="1" applyAlignment="1">
      <alignment horizontal="center"/>
    </xf>
    <xf numFmtId="0" fontId="33" fillId="0" borderId="0" xfId="0" applyFont="1" applyBorder="1" applyAlignment="1">
      <alignment horizontal="right"/>
    </xf>
    <xf numFmtId="177" fontId="32" fillId="0" borderId="0" xfId="0" applyNumberFormat="1" applyFont="1" applyFill="1" applyAlignment="1">
      <alignment horizontal="center"/>
    </xf>
    <xf numFmtId="177" fontId="20" fillId="0" borderId="0" xfId="0" applyNumberFormat="1" applyFont="1" applyFill="1" applyAlignment="1">
      <alignment horizontal="center"/>
    </xf>
    <xf numFmtId="177" fontId="32" fillId="0" borderId="17" xfId="0" applyNumberFormat="1" applyFont="1" applyFill="1" applyBorder="1" applyAlignment="1">
      <alignment horizontal="center"/>
    </xf>
    <xf numFmtId="2" fontId="32" fillId="0" borderId="17" xfId="0" applyNumberFormat="1" applyFont="1" applyFill="1" applyBorder="1" applyAlignment="1">
      <alignment horizontal="center"/>
    </xf>
    <xf numFmtId="0" fontId="21" fillId="0" borderId="0" xfId="0" applyFont="1" applyAlignment="1">
      <alignment horizontal="right"/>
    </xf>
    <xf numFmtId="1" fontId="21" fillId="0" borderId="19" xfId="0" applyNumberFormat="1" applyFont="1" applyBorder="1" applyAlignment="1">
      <alignment horizontal="center"/>
    </xf>
    <xf numFmtId="1" fontId="21" fillId="0" borderId="20" xfId="0" applyNumberFormat="1" applyFont="1" applyBorder="1" applyAlignment="1">
      <alignment horizontal="center"/>
    </xf>
    <xf numFmtId="0" fontId="21" fillId="0" borderId="10" xfId="0" applyFont="1" applyBorder="1" applyAlignment="1">
      <alignment horizontal="left"/>
    </xf>
    <xf numFmtId="0" fontId="20" fillId="0" borderId="18" xfId="0" applyFont="1" applyBorder="1" applyAlignment="1">
      <alignment/>
    </xf>
    <xf numFmtId="177" fontId="32" fillId="0" borderId="10" xfId="0" applyNumberFormat="1" applyFont="1" applyFill="1" applyBorder="1" applyAlignment="1">
      <alignment/>
    </xf>
    <xf numFmtId="177" fontId="20" fillId="0" borderId="10" xfId="44" applyNumberFormat="1" applyFont="1" applyFill="1" applyBorder="1" applyAlignment="1" applyProtection="1">
      <alignment horizontal="center"/>
      <protection/>
    </xf>
    <xf numFmtId="0" fontId="32" fillId="0" borderId="10" xfId="0" applyFont="1" applyBorder="1" applyAlignment="1">
      <alignment/>
    </xf>
    <xf numFmtId="0" fontId="32" fillId="0" borderId="18" xfId="0" applyFont="1" applyFill="1" applyBorder="1" applyAlignment="1">
      <alignment horizontal="center"/>
    </xf>
    <xf numFmtId="1" fontId="20" fillId="0" borderId="10" xfId="0" applyNumberFormat="1" applyFont="1" applyBorder="1" applyAlignment="1">
      <alignment horizontal="center"/>
    </xf>
    <xf numFmtId="0" fontId="32" fillId="0" borderId="10" xfId="0" applyFont="1" applyBorder="1" applyAlignment="1">
      <alignment horizontal="center"/>
    </xf>
    <xf numFmtId="2" fontId="20" fillId="0" borderId="18" xfId="0" applyNumberFormat="1" applyFont="1" applyBorder="1" applyAlignment="1">
      <alignment horizontal="center"/>
    </xf>
    <xf numFmtId="0" fontId="21" fillId="0" borderId="0" xfId="0" applyFont="1" applyBorder="1" applyAlignment="1">
      <alignment horizontal="left"/>
    </xf>
    <xf numFmtId="177" fontId="20" fillId="0" borderId="0" xfId="44" applyNumberFormat="1" applyFont="1" applyFill="1" applyBorder="1" applyAlignment="1" applyProtection="1">
      <alignment horizontal="center"/>
      <protection/>
    </xf>
    <xf numFmtId="2" fontId="32" fillId="0" borderId="0" xfId="0" applyNumberFormat="1" applyFont="1" applyFill="1" applyAlignment="1">
      <alignment horizontal="center"/>
    </xf>
    <xf numFmtId="177" fontId="35" fillId="0" borderId="17" xfId="0" applyNumberFormat="1" applyFont="1" applyFill="1" applyBorder="1" applyAlignment="1">
      <alignment horizontal="center"/>
    </xf>
    <xf numFmtId="177" fontId="35" fillId="0" borderId="0" xfId="0" applyNumberFormat="1" applyFont="1" applyFill="1" applyAlignment="1">
      <alignment horizontal="center"/>
    </xf>
    <xf numFmtId="0" fontId="31" fillId="0" borderId="0" xfId="0" applyFont="1" applyFill="1" applyAlignment="1">
      <alignment/>
    </xf>
    <xf numFmtId="1" fontId="31" fillId="0" borderId="0" xfId="0" applyNumberFormat="1" applyFont="1" applyFill="1" applyAlignment="1">
      <alignment horizontal="center"/>
    </xf>
    <xf numFmtId="0" fontId="31" fillId="0" borderId="0" xfId="0" applyFont="1" applyFill="1" applyAlignment="1">
      <alignment horizontal="left"/>
    </xf>
    <xf numFmtId="177" fontId="21" fillId="0" borderId="10" xfId="44" applyNumberFormat="1" applyFont="1" applyFill="1" applyBorder="1" applyAlignment="1" applyProtection="1">
      <alignment horizontal="center"/>
      <protection/>
    </xf>
    <xf numFmtId="0" fontId="33" fillId="0" borderId="10" xfId="0" applyFont="1" applyBorder="1" applyAlignment="1">
      <alignment/>
    </xf>
    <xf numFmtId="0" fontId="21" fillId="0" borderId="10" xfId="0" applyFont="1" applyBorder="1" applyAlignment="1">
      <alignment/>
    </xf>
    <xf numFmtId="1" fontId="21" fillId="0" borderId="10" xfId="0" applyNumberFormat="1" applyFont="1" applyBorder="1" applyAlignment="1">
      <alignment horizontal="center"/>
    </xf>
    <xf numFmtId="2" fontId="21" fillId="0" borderId="18" xfId="0" applyNumberFormat="1" applyFont="1" applyBorder="1" applyAlignment="1">
      <alignment horizontal="center"/>
    </xf>
    <xf numFmtId="177" fontId="21" fillId="0" borderId="0" xfId="44" applyNumberFormat="1" applyFont="1" applyFill="1" applyBorder="1" applyAlignment="1" applyProtection="1">
      <alignment horizontal="center"/>
      <protection/>
    </xf>
    <xf numFmtId="0" fontId="33" fillId="0" borderId="0" xfId="0" applyFont="1" applyAlignment="1">
      <alignment/>
    </xf>
    <xf numFmtId="2" fontId="21" fillId="0" borderId="17" xfId="0" applyNumberFormat="1" applyFont="1" applyBorder="1" applyAlignment="1">
      <alignment horizontal="center"/>
    </xf>
    <xf numFmtId="0" fontId="21" fillId="0" borderId="0" xfId="0" applyFont="1" applyFill="1" applyAlignment="1">
      <alignment horizontal="center"/>
    </xf>
    <xf numFmtId="0" fontId="20" fillId="0" borderId="17" xfId="0" applyFont="1" applyFill="1" applyBorder="1" applyAlignment="1">
      <alignment/>
    </xf>
    <xf numFmtId="0" fontId="21" fillId="0" borderId="0" xfId="0" applyFont="1" applyFill="1" applyAlignment="1">
      <alignment horizontal="left"/>
    </xf>
    <xf numFmtId="0" fontId="21" fillId="0" borderId="21" xfId="0" applyFont="1" applyFill="1" applyBorder="1" applyAlignment="1">
      <alignment horizontal="left"/>
    </xf>
    <xf numFmtId="0" fontId="21" fillId="0" borderId="17" xfId="0" applyFont="1" applyFill="1" applyBorder="1" applyAlignment="1">
      <alignment horizontal="left"/>
    </xf>
    <xf numFmtId="177" fontId="44" fillId="0" borderId="0" xfId="0" applyNumberFormat="1" applyFont="1" applyFill="1" applyAlignment="1">
      <alignment horizontal="right"/>
    </xf>
    <xf numFmtId="177" fontId="21" fillId="0" borderId="0" xfId="0" applyNumberFormat="1" applyFont="1" applyFill="1" applyAlignment="1">
      <alignment horizontal="center"/>
    </xf>
    <xf numFmtId="1" fontId="20" fillId="0" borderId="0" xfId="0" applyNumberFormat="1" applyFont="1" applyFill="1" applyBorder="1" applyAlignment="1">
      <alignment horizontal="center"/>
    </xf>
    <xf numFmtId="2" fontId="44" fillId="0" borderId="0" xfId="0" applyNumberFormat="1" applyFont="1" applyFill="1" applyBorder="1" applyAlignment="1">
      <alignment/>
    </xf>
    <xf numFmtId="177" fontId="21" fillId="0" borderId="0" xfId="0" applyNumberFormat="1" applyFont="1" applyFill="1" applyBorder="1" applyAlignment="1">
      <alignment horizontal="center"/>
    </xf>
    <xf numFmtId="2" fontId="45" fillId="0" borderId="0" xfId="0" applyNumberFormat="1" applyFont="1" applyFill="1" applyBorder="1" applyAlignment="1">
      <alignment horizontal="center"/>
    </xf>
    <xf numFmtId="2" fontId="32" fillId="0" borderId="0" xfId="0" applyNumberFormat="1" applyFont="1" applyFill="1" applyBorder="1" applyAlignment="1">
      <alignment horizontal="center"/>
    </xf>
    <xf numFmtId="2" fontId="20" fillId="0" borderId="0" xfId="0" applyNumberFormat="1" applyFont="1" applyFill="1" applyAlignment="1">
      <alignment horizontal="center"/>
    </xf>
    <xf numFmtId="0" fontId="35" fillId="0" borderId="0" xfId="0" applyFont="1" applyFill="1" applyAlignment="1">
      <alignment/>
    </xf>
    <xf numFmtId="1" fontId="35" fillId="0" borderId="0" xfId="0" applyNumberFormat="1" applyFont="1" applyFill="1" applyAlignment="1">
      <alignment horizontal="center"/>
    </xf>
    <xf numFmtId="0" fontId="20" fillId="0" borderId="0" xfId="0" applyFont="1" applyFill="1" applyAlignment="1">
      <alignment horizontal="left" wrapText="1"/>
    </xf>
    <xf numFmtId="0" fontId="20" fillId="0" borderId="0" xfId="0" applyFont="1" applyFill="1" applyAlignment="1">
      <alignment horizontal="left"/>
    </xf>
    <xf numFmtId="1" fontId="20" fillId="0" borderId="21" xfId="0" applyNumberFormat="1" applyFont="1" applyFill="1" applyBorder="1" applyAlignment="1">
      <alignment horizontal="center"/>
    </xf>
    <xf numFmtId="0" fontId="46" fillId="0" borderId="10" xfId="0" applyFont="1" applyFill="1" applyBorder="1" applyAlignment="1">
      <alignment horizontal="left" wrapText="1"/>
    </xf>
    <xf numFmtId="177" fontId="20" fillId="0" borderId="10" xfId="0" applyNumberFormat="1" applyFont="1" applyFill="1" applyBorder="1" applyAlignment="1">
      <alignment horizontal="center"/>
    </xf>
    <xf numFmtId="2" fontId="32" fillId="0" borderId="10" xfId="0" applyNumberFormat="1" applyFont="1" applyFill="1" applyBorder="1" applyAlignment="1">
      <alignment horizontal="center"/>
    </xf>
    <xf numFmtId="1" fontId="20" fillId="0" borderId="10" xfId="0" applyNumberFormat="1" applyFont="1" applyFill="1" applyBorder="1" applyAlignment="1">
      <alignment horizontal="center"/>
    </xf>
    <xf numFmtId="177" fontId="35" fillId="0" borderId="18" xfId="0" applyNumberFormat="1" applyFont="1" applyFill="1" applyBorder="1" applyAlignment="1">
      <alignment horizontal="center"/>
    </xf>
    <xf numFmtId="177" fontId="35" fillId="0" borderId="10" xfId="0" applyNumberFormat="1" applyFont="1" applyFill="1" applyBorder="1" applyAlignment="1">
      <alignment horizontal="center"/>
    </xf>
    <xf numFmtId="2" fontId="32" fillId="0" borderId="18" xfId="0" applyNumberFormat="1" applyFont="1" applyFill="1" applyBorder="1" applyAlignment="1">
      <alignment horizontal="center"/>
    </xf>
    <xf numFmtId="0" fontId="21" fillId="0" borderId="0" xfId="0" applyFont="1" applyFill="1" applyAlignment="1">
      <alignment horizontal="left" wrapText="1"/>
    </xf>
    <xf numFmtId="2" fontId="20" fillId="0" borderId="0" xfId="0" applyNumberFormat="1" applyFont="1" applyFill="1" applyBorder="1" applyAlignment="1">
      <alignment horizontal="center"/>
    </xf>
    <xf numFmtId="0" fontId="46" fillId="0" borderId="0" xfId="0" applyFont="1" applyFill="1" applyAlignment="1">
      <alignment horizontal="right"/>
    </xf>
    <xf numFmtId="0" fontId="46" fillId="0" borderId="10" xfId="0" applyFont="1" applyFill="1" applyBorder="1" applyAlignment="1">
      <alignment horizontal="right"/>
    </xf>
    <xf numFmtId="0" fontId="21" fillId="0" borderId="17" xfId="0" applyFont="1" applyBorder="1" applyAlignment="1">
      <alignment horizontal="left"/>
    </xf>
    <xf numFmtId="2" fontId="33" fillId="0" borderId="0" xfId="0" applyNumberFormat="1" applyFont="1" applyAlignment="1">
      <alignment horizontal="center"/>
    </xf>
    <xf numFmtId="1" fontId="33" fillId="0" borderId="17" xfId="0" applyNumberFormat="1" applyFont="1" applyFill="1" applyBorder="1" applyAlignment="1">
      <alignment horizontal="center"/>
    </xf>
    <xf numFmtId="177" fontId="43" fillId="0" borderId="0" xfId="0" applyNumberFormat="1" applyFont="1" applyAlignment="1">
      <alignment horizontal="center"/>
    </xf>
    <xf numFmtId="2" fontId="33" fillId="0" borderId="17" xfId="0" applyNumberFormat="1" applyFont="1" applyBorder="1" applyAlignment="1">
      <alignment horizontal="center"/>
    </xf>
    <xf numFmtId="177" fontId="21" fillId="0" borderId="0" xfId="0" applyNumberFormat="1" applyFont="1" applyBorder="1" applyAlignment="1">
      <alignment horizontal="center"/>
    </xf>
    <xf numFmtId="0" fontId="21" fillId="0" borderId="21" xfId="0" applyFont="1" applyBorder="1" applyAlignment="1">
      <alignment horizontal="left"/>
    </xf>
    <xf numFmtId="177" fontId="20" fillId="0" borderId="17" xfId="0" applyNumberFormat="1" applyFont="1" applyFill="1" applyBorder="1" applyAlignment="1">
      <alignment horizontal="center"/>
    </xf>
    <xf numFmtId="177" fontId="35" fillId="0" borderId="0" xfId="0" applyNumberFormat="1" applyFont="1" applyFill="1" applyBorder="1" applyAlignment="1">
      <alignment/>
    </xf>
    <xf numFmtId="0" fontId="35" fillId="0" borderId="0" xfId="0" applyFont="1" applyFill="1" applyBorder="1" applyAlignment="1">
      <alignment/>
    </xf>
    <xf numFmtId="2" fontId="32" fillId="0" borderId="0" xfId="0" applyNumberFormat="1" applyFont="1" applyAlignment="1">
      <alignment horizontal="center"/>
    </xf>
    <xf numFmtId="1" fontId="35" fillId="0" borderId="17" xfId="0" applyNumberFormat="1" applyFont="1" applyFill="1" applyBorder="1" applyAlignment="1">
      <alignment horizontal="center"/>
    </xf>
    <xf numFmtId="177" fontId="35" fillId="0" borderId="0" xfId="0" applyNumberFormat="1" applyFont="1" applyAlignment="1">
      <alignment horizontal="center"/>
    </xf>
    <xf numFmtId="2" fontId="32" fillId="0" borderId="17" xfId="0" applyNumberFormat="1" applyFont="1" applyBorder="1" applyAlignment="1">
      <alignment horizontal="center"/>
    </xf>
    <xf numFmtId="1" fontId="35" fillId="0" borderId="0" xfId="0" applyNumberFormat="1" applyFont="1" applyFill="1" applyBorder="1" applyAlignment="1">
      <alignment horizontal="center"/>
    </xf>
    <xf numFmtId="0" fontId="21" fillId="0" borderId="0" xfId="0" applyFont="1" applyFill="1" applyAlignment="1">
      <alignment/>
    </xf>
    <xf numFmtId="1" fontId="21" fillId="0" borderId="0" xfId="0" applyNumberFormat="1" applyFont="1" applyFill="1" applyAlignment="1">
      <alignment horizontal="center"/>
    </xf>
    <xf numFmtId="0" fontId="20" fillId="0" borderId="10" xfId="0" applyFont="1" applyFill="1" applyBorder="1" applyAlignment="1">
      <alignment horizontal="left"/>
    </xf>
    <xf numFmtId="1" fontId="32" fillId="0" borderId="18" xfId="0" applyNumberFormat="1" applyFont="1" applyFill="1" applyBorder="1" applyAlignment="1">
      <alignment horizontal="center"/>
    </xf>
    <xf numFmtId="0" fontId="21" fillId="0" borderId="0" xfId="0" applyFont="1" applyFill="1" applyBorder="1" applyAlignment="1">
      <alignment horizontal="left"/>
    </xf>
    <xf numFmtId="1" fontId="32" fillId="0" borderId="17" xfId="0" applyNumberFormat="1" applyFont="1" applyFill="1" applyBorder="1" applyAlignment="1">
      <alignment horizontal="center"/>
    </xf>
    <xf numFmtId="177" fontId="47" fillId="0" borderId="0" xfId="0" applyNumberFormat="1" applyFont="1" applyAlignment="1">
      <alignment horizontal="center"/>
    </xf>
    <xf numFmtId="2" fontId="48" fillId="0" borderId="0" xfId="0" applyNumberFormat="1" applyFont="1" applyAlignment="1">
      <alignment horizontal="center"/>
    </xf>
    <xf numFmtId="1" fontId="47" fillId="0" borderId="0" xfId="0" applyNumberFormat="1" applyFont="1" applyAlignment="1">
      <alignment horizontal="center"/>
    </xf>
    <xf numFmtId="1" fontId="48" fillId="0" borderId="17" xfId="0" applyNumberFormat="1" applyFont="1" applyFill="1" applyBorder="1" applyAlignment="1">
      <alignment horizontal="center"/>
    </xf>
    <xf numFmtId="177" fontId="41" fillId="0" borderId="0" xfId="0" applyNumberFormat="1" applyFont="1" applyAlignment="1">
      <alignment horizontal="center"/>
    </xf>
    <xf numFmtId="2" fontId="48" fillId="0" borderId="17" xfId="0" applyNumberFormat="1" applyFont="1" applyBorder="1" applyAlignment="1">
      <alignment horizontal="center"/>
    </xf>
    <xf numFmtId="0" fontId="47" fillId="0" borderId="0" xfId="0" applyFont="1" applyAlignment="1">
      <alignment/>
    </xf>
    <xf numFmtId="2" fontId="48" fillId="0" borderId="0" xfId="0" applyNumberFormat="1" applyFont="1" applyFill="1" applyBorder="1" applyAlignment="1">
      <alignment horizontal="center"/>
    </xf>
    <xf numFmtId="177" fontId="47" fillId="0" borderId="0" xfId="0" applyNumberFormat="1" applyFont="1" applyFill="1" applyBorder="1" applyAlignment="1">
      <alignment horizontal="center"/>
    </xf>
    <xf numFmtId="1" fontId="47" fillId="0" borderId="0" xfId="0" applyNumberFormat="1" applyFont="1" applyFill="1" applyBorder="1" applyAlignment="1">
      <alignment horizontal="center"/>
    </xf>
    <xf numFmtId="177" fontId="41" fillId="0" borderId="0" xfId="0" applyNumberFormat="1" applyFont="1" applyFill="1" applyBorder="1" applyAlignment="1">
      <alignment horizontal="center"/>
    </xf>
    <xf numFmtId="2" fontId="48" fillId="0" borderId="17" xfId="0" applyNumberFormat="1" applyFont="1" applyFill="1" applyBorder="1" applyAlignment="1">
      <alignment horizontal="center"/>
    </xf>
    <xf numFmtId="177" fontId="47" fillId="0" borderId="0" xfId="0" applyNumberFormat="1" applyFont="1" applyFill="1" applyAlignment="1">
      <alignment horizontal="center"/>
    </xf>
    <xf numFmtId="0" fontId="47" fillId="0" borderId="0" xfId="0" applyFont="1" applyFill="1" applyAlignment="1">
      <alignment/>
    </xf>
    <xf numFmtId="1" fontId="47" fillId="0" borderId="0" xfId="0" applyNumberFormat="1" applyFont="1" applyFill="1" applyAlignment="1">
      <alignment horizontal="center"/>
    </xf>
    <xf numFmtId="0" fontId="49" fillId="0" borderId="22" xfId="0" applyFont="1" applyBorder="1" applyAlignment="1">
      <alignment horizontal="left"/>
    </xf>
    <xf numFmtId="0" fontId="20" fillId="0" borderId="22" xfId="0" applyFont="1" applyBorder="1" applyAlignment="1">
      <alignment/>
    </xf>
    <xf numFmtId="0" fontId="20" fillId="0" borderId="23" xfId="0" applyFont="1" applyBorder="1" applyAlignment="1">
      <alignment/>
    </xf>
    <xf numFmtId="177" fontId="32" fillId="0" borderId="0" xfId="0" applyNumberFormat="1" applyFont="1" applyAlignment="1">
      <alignment horizontal="center"/>
    </xf>
    <xf numFmtId="0" fontId="20" fillId="0" borderId="21" xfId="0" applyFont="1" applyFill="1" applyBorder="1" applyAlignment="1">
      <alignment/>
    </xf>
    <xf numFmtId="1" fontId="21" fillId="0" borderId="0" xfId="0" applyNumberFormat="1" applyFont="1" applyAlignment="1">
      <alignment horizontal="right"/>
    </xf>
    <xf numFmtId="2" fontId="33" fillId="0" borderId="0" xfId="0" applyNumberFormat="1" applyFont="1" applyAlignment="1">
      <alignment horizontal="left"/>
    </xf>
    <xf numFmtId="0" fontId="50" fillId="0" borderId="0" xfId="0" applyFont="1" applyAlignment="1">
      <alignment horizontal="left"/>
    </xf>
    <xf numFmtId="2" fontId="20" fillId="0" borderId="0" xfId="0" applyNumberFormat="1" applyFont="1" applyAlignment="1">
      <alignment/>
    </xf>
    <xf numFmtId="177" fontId="33" fillId="0" borderId="0" xfId="0" applyNumberFormat="1" applyFont="1" applyAlignment="1">
      <alignment horizontal="center"/>
    </xf>
    <xf numFmtId="1" fontId="43" fillId="0" borderId="0" xfId="0" applyNumberFormat="1" applyFont="1" applyAlignment="1">
      <alignment horizontal="center"/>
    </xf>
    <xf numFmtId="0" fontId="21" fillId="0" borderId="0" xfId="0" applyFont="1" applyAlignment="1">
      <alignment/>
    </xf>
    <xf numFmtId="1" fontId="20" fillId="0" borderId="21" xfId="0" applyNumberFormat="1" applyFont="1" applyBorder="1" applyAlignment="1">
      <alignment horizontal="center"/>
    </xf>
    <xf numFmtId="177" fontId="20" fillId="8" borderId="0" xfId="0" applyNumberFormat="1" applyFont="1" applyFill="1" applyAlignment="1">
      <alignment horizontal="center"/>
    </xf>
    <xf numFmtId="177" fontId="35" fillId="8" borderId="17" xfId="0" applyNumberFormat="1" applyFont="1" applyFill="1" applyBorder="1" applyAlignment="1">
      <alignment horizontal="center"/>
    </xf>
    <xf numFmtId="2" fontId="20" fillId="0" borderId="0" xfId="0" applyNumberFormat="1" applyFont="1" applyAlignment="1">
      <alignment horizontal="center"/>
    </xf>
    <xf numFmtId="177" fontId="20" fillId="0" borderId="0" xfId="0" applyNumberFormat="1" applyFont="1" applyAlignment="1">
      <alignment/>
    </xf>
    <xf numFmtId="0" fontId="46" fillId="0" borderId="0" xfId="0" applyFont="1" applyAlignment="1">
      <alignment/>
    </xf>
    <xf numFmtId="0" fontId="20" fillId="0" borderId="22" xfId="0" applyFont="1" applyBorder="1" applyAlignment="1">
      <alignment horizontal="left"/>
    </xf>
    <xf numFmtId="177" fontId="20" fillId="0" borderId="22" xfId="0" applyNumberFormat="1" applyFont="1" applyBorder="1" applyAlignment="1">
      <alignment horizontal="center"/>
    </xf>
    <xf numFmtId="2" fontId="32" fillId="0" borderId="22" xfId="0" applyNumberFormat="1" applyFont="1" applyBorder="1" applyAlignment="1">
      <alignment horizontal="center"/>
    </xf>
    <xf numFmtId="1" fontId="20" fillId="0" borderId="22" xfId="0" applyNumberFormat="1" applyFont="1" applyBorder="1" applyAlignment="1">
      <alignment horizontal="center"/>
    </xf>
    <xf numFmtId="1" fontId="32" fillId="0" borderId="23" xfId="0" applyNumberFormat="1" applyFont="1" applyFill="1" applyBorder="1" applyAlignment="1">
      <alignment horizontal="center"/>
    </xf>
    <xf numFmtId="177" fontId="35" fillId="0" borderId="22" xfId="0" applyNumberFormat="1" applyFont="1" applyBorder="1" applyAlignment="1">
      <alignment horizontal="center"/>
    </xf>
    <xf numFmtId="2" fontId="32" fillId="0" borderId="23" xfId="0" applyNumberFormat="1" applyFont="1" applyBorder="1" applyAlignment="1">
      <alignment horizontal="center"/>
    </xf>
    <xf numFmtId="1" fontId="43" fillId="0" borderId="24" xfId="0" applyNumberFormat="1" applyFont="1" applyFill="1" applyBorder="1" applyAlignment="1">
      <alignment horizontal="center"/>
    </xf>
    <xf numFmtId="1" fontId="21" fillId="0" borderId="24" xfId="0" applyNumberFormat="1" applyFont="1" applyBorder="1" applyAlignment="1">
      <alignment horizontal="center"/>
    </xf>
    <xf numFmtId="177" fontId="20" fillId="0" borderId="0" xfId="0" applyNumberFormat="1" applyFont="1" applyFill="1" applyAlignment="1">
      <alignment horizontal="center" vertical="center"/>
    </xf>
    <xf numFmtId="177" fontId="20" fillId="0" borderId="21" xfId="0" applyNumberFormat="1" applyFont="1" applyFill="1" applyBorder="1" applyAlignment="1">
      <alignment horizontal="center" vertical="center"/>
    </xf>
    <xf numFmtId="177" fontId="20" fillId="0" borderId="0" xfId="0" applyNumberFormat="1" applyFont="1" applyFill="1" applyBorder="1" applyAlignment="1">
      <alignment horizontal="center" vertical="center"/>
    </xf>
    <xf numFmtId="177" fontId="21" fillId="0" borderId="21" xfId="0" applyNumberFormat="1" applyFont="1" applyFill="1" applyBorder="1" applyAlignment="1">
      <alignment horizontal="center" vertical="center"/>
    </xf>
    <xf numFmtId="177" fontId="43" fillId="0" borderId="0" xfId="0" applyNumberFormat="1" applyFont="1" applyFill="1" applyBorder="1" applyAlignment="1">
      <alignment horizontal="center" vertical="center"/>
    </xf>
    <xf numFmtId="177" fontId="21" fillId="0" borderId="0" xfId="0" applyNumberFormat="1" applyFont="1" applyFill="1" applyBorder="1" applyAlignment="1">
      <alignment horizontal="center" vertical="center"/>
    </xf>
    <xf numFmtId="177" fontId="21" fillId="0" borderId="0" xfId="0" applyNumberFormat="1" applyFont="1" applyFill="1" applyAlignment="1">
      <alignment horizontal="center" vertical="center"/>
    </xf>
    <xf numFmtId="1" fontId="20" fillId="0" borderId="25" xfId="0" applyNumberFormat="1" applyFont="1" applyBorder="1" applyAlignment="1">
      <alignment horizontal="center"/>
    </xf>
    <xf numFmtId="2" fontId="32" fillId="0" borderId="0" xfId="0" applyNumberFormat="1" applyFont="1" applyBorder="1" applyAlignment="1">
      <alignment horizontal="center"/>
    </xf>
    <xf numFmtId="177" fontId="32" fillId="0" borderId="0" xfId="0" applyNumberFormat="1" applyFont="1" applyBorder="1" applyAlignment="1">
      <alignment horizontal="center"/>
    </xf>
    <xf numFmtId="1" fontId="21" fillId="0" borderId="0" xfId="0" applyNumberFormat="1" applyFont="1" applyAlignment="1">
      <alignment horizontal="left"/>
    </xf>
    <xf numFmtId="2" fontId="33" fillId="0" borderId="0" xfId="0" applyNumberFormat="1" applyFont="1" applyBorder="1" applyAlignment="1">
      <alignment horizontal="center"/>
    </xf>
    <xf numFmtId="0" fontId="20" fillId="0" borderId="21" xfId="0" applyFont="1" applyBorder="1" applyAlignment="1">
      <alignment/>
    </xf>
    <xf numFmtId="2" fontId="32" fillId="0" borderId="23" xfId="0" applyNumberFormat="1" applyFont="1" applyFill="1" applyBorder="1" applyAlignment="1">
      <alignment horizontal="center"/>
    </xf>
    <xf numFmtId="1" fontId="21" fillId="0" borderId="0" xfId="0" applyNumberFormat="1" applyFont="1" applyFill="1" applyBorder="1" applyAlignment="1">
      <alignment horizontal="center"/>
    </xf>
    <xf numFmtId="2" fontId="33" fillId="0" borderId="0" xfId="0" applyNumberFormat="1" applyFont="1" applyFill="1" applyBorder="1" applyAlignment="1">
      <alignment horizontal="center"/>
    </xf>
    <xf numFmtId="0" fontId="39" fillId="0" borderId="0" xfId="0" applyFont="1" applyFill="1" applyAlignment="1">
      <alignment/>
    </xf>
    <xf numFmtId="1" fontId="39" fillId="0" borderId="0" xfId="0" applyNumberFormat="1" applyFont="1" applyFill="1" applyAlignment="1">
      <alignment horizontal="center"/>
    </xf>
    <xf numFmtId="0" fontId="0" fillId="0" borderId="10" xfId="0" applyBorder="1" applyAlignment="1">
      <alignment/>
    </xf>
    <xf numFmtId="0" fontId="22" fillId="0" borderId="10" xfId="0" applyFont="1" applyBorder="1" applyAlignment="1">
      <alignment horizontal="center"/>
    </xf>
    <xf numFmtId="177" fontId="0" fillId="0" borderId="0" xfId="0" applyNumberFormat="1" applyBorder="1" applyAlignment="1">
      <alignment horizontal="center"/>
    </xf>
    <xf numFmtId="177" fontId="22" fillId="0" borderId="0" xfId="0" applyNumberFormat="1" applyFont="1" applyBorder="1" applyAlignment="1">
      <alignment horizontal="center"/>
    </xf>
    <xf numFmtId="0" fontId="51" fillId="0" borderId="0" xfId="0" applyFont="1" applyAlignment="1">
      <alignment/>
    </xf>
    <xf numFmtId="0" fontId="51" fillId="0" borderId="0" xfId="0" applyFont="1" applyAlignment="1">
      <alignment horizontal="right"/>
    </xf>
    <xf numFmtId="0" fontId="51" fillId="0" borderId="0" xfId="0" applyFont="1" applyAlignment="1">
      <alignment horizontal="center"/>
    </xf>
    <xf numFmtId="15" fontId="0" fillId="0" borderId="0" xfId="0" applyNumberFormat="1" applyAlignment="1">
      <alignment horizontal="center"/>
    </xf>
    <xf numFmtId="0" fontId="0" fillId="0" borderId="0" xfId="0" applyFont="1" applyFill="1" applyAlignment="1">
      <alignment/>
    </xf>
    <xf numFmtId="0" fontId="22" fillId="0" borderId="0" xfId="0" applyFont="1" applyAlignment="1">
      <alignment/>
    </xf>
    <xf numFmtId="177" fontId="0" fillId="0" borderId="0" xfId="0" applyNumberFormat="1" applyAlignment="1">
      <alignment/>
    </xf>
    <xf numFmtId="0" fontId="24" fillId="0" borderId="0" xfId="0" applyFont="1" applyAlignment="1">
      <alignment horizontal="center"/>
    </xf>
    <xf numFmtId="0" fontId="0" fillId="0" borderId="22" xfId="0" applyFont="1" applyBorder="1" applyAlignment="1">
      <alignment horizontal="center"/>
    </xf>
    <xf numFmtId="0" fontId="0" fillId="0" borderId="22" xfId="0" applyBorder="1" applyAlignment="1">
      <alignment/>
    </xf>
    <xf numFmtId="0" fontId="0" fillId="0" borderId="22" xfId="0" applyFont="1" applyFill="1" applyBorder="1" applyAlignment="1">
      <alignment horizontal="center"/>
    </xf>
    <xf numFmtId="0" fontId="0" fillId="0" borderId="17" xfId="0" applyFont="1" applyFill="1" applyBorder="1" applyAlignment="1">
      <alignment horizontal="center"/>
    </xf>
    <xf numFmtId="177" fontId="0" fillId="0" borderId="16" xfId="0" applyNumberFormat="1" applyBorder="1" applyAlignment="1">
      <alignment horizontal="center"/>
    </xf>
    <xf numFmtId="177" fontId="0" fillId="0" borderId="14" xfId="0" applyNumberFormat="1" applyFill="1" applyBorder="1" applyAlignment="1">
      <alignment horizontal="center"/>
    </xf>
    <xf numFmtId="177" fontId="0" fillId="0" borderId="14" xfId="0" applyNumberFormat="1" applyBorder="1" applyAlignment="1">
      <alignment horizontal="center"/>
    </xf>
    <xf numFmtId="177" fontId="0" fillId="0" borderId="14" xfId="0" applyNumberFormat="1" applyBorder="1" applyAlignment="1">
      <alignment/>
    </xf>
    <xf numFmtId="177" fontId="0" fillId="0" borderId="26" xfId="0" applyNumberFormat="1" applyFill="1" applyBorder="1" applyAlignment="1">
      <alignment horizontal="center"/>
    </xf>
    <xf numFmtId="177" fontId="0" fillId="0" borderId="26" xfId="0" applyNumberFormat="1" applyBorder="1" applyAlignment="1">
      <alignment horizontal="center"/>
    </xf>
    <xf numFmtId="177" fontId="0" fillId="0" borderId="0" xfId="0" applyNumberFormat="1" applyBorder="1" applyAlignment="1">
      <alignment/>
    </xf>
    <xf numFmtId="0" fontId="52" fillId="0" borderId="0" xfId="0" applyFont="1" applyAlignment="1">
      <alignment horizontal="right"/>
    </xf>
    <xf numFmtId="0" fontId="51" fillId="0" borderId="22" xfId="0" applyFont="1" applyBorder="1" applyAlignment="1">
      <alignment horizontal="center"/>
    </xf>
    <xf numFmtId="0" fontId="52" fillId="0" borderId="0" xfId="0" applyFont="1" applyAlignment="1">
      <alignment horizontal="center" wrapText="1"/>
    </xf>
    <xf numFmtId="177" fontId="0" fillId="0" borderId="22" xfId="0" applyNumberFormat="1" applyBorder="1" applyAlignment="1">
      <alignment horizontal="center"/>
    </xf>
    <xf numFmtId="177" fontId="52" fillId="0" borderId="22" xfId="0" applyNumberFormat="1" applyFont="1" applyBorder="1" applyAlignment="1">
      <alignment horizontal="center"/>
    </xf>
    <xf numFmtId="177" fontId="52" fillId="0" borderId="0" xfId="0" applyNumberFormat="1" applyFont="1" applyBorder="1" applyAlignment="1">
      <alignment horizontal="center"/>
    </xf>
    <xf numFmtId="0" fontId="52" fillId="0" borderId="0" xfId="0" applyFont="1" applyBorder="1" applyAlignment="1">
      <alignment/>
    </xf>
    <xf numFmtId="177" fontId="0" fillId="0" borderId="22" xfId="0" applyNumberFormat="1" applyBorder="1" applyAlignment="1">
      <alignment/>
    </xf>
    <xf numFmtId="177" fontId="0" fillId="0" borderId="14" xfId="0" applyNumberFormat="1" applyFont="1" applyBorder="1" applyAlignment="1">
      <alignment horizontal="center"/>
    </xf>
    <xf numFmtId="177" fontId="0" fillId="0" borderId="20" xfId="0" applyNumberFormat="1" applyBorder="1" applyAlignment="1">
      <alignment horizontal="center"/>
    </xf>
    <xf numFmtId="0" fontId="0" fillId="0" borderId="14" xfId="0" applyFill="1" applyBorder="1" applyAlignment="1">
      <alignment horizontal="center"/>
    </xf>
    <xf numFmtId="177" fontId="0" fillId="0" borderId="27" xfId="0" applyNumberFormat="1" applyFill="1" applyBorder="1" applyAlignment="1">
      <alignment horizontal="center"/>
    </xf>
    <xf numFmtId="177" fontId="0" fillId="0" borderId="27" xfId="0" applyNumberFormat="1" applyFont="1" applyFill="1" applyBorder="1" applyAlignment="1">
      <alignment horizontal="center"/>
    </xf>
    <xf numFmtId="177" fontId="0" fillId="0" borderId="27" xfId="0" applyNumberFormat="1" applyBorder="1" applyAlignment="1">
      <alignment horizontal="center"/>
    </xf>
    <xf numFmtId="0" fontId="0" fillId="0" borderId="14" xfId="0" applyFill="1" applyBorder="1" applyAlignment="1">
      <alignment/>
    </xf>
    <xf numFmtId="177" fontId="0" fillId="0" borderId="15" xfId="0" applyNumberFormat="1" applyBorder="1" applyAlignment="1">
      <alignment horizontal="center"/>
    </xf>
    <xf numFmtId="177" fontId="0" fillId="0" borderId="15" xfId="0" applyNumberFormat="1" applyFill="1" applyBorder="1" applyAlignment="1">
      <alignment horizontal="center"/>
    </xf>
    <xf numFmtId="177" fontId="0" fillId="0" borderId="28" xfId="0" applyNumberFormat="1" applyFill="1" applyBorder="1" applyAlignment="1">
      <alignment horizontal="center"/>
    </xf>
    <xf numFmtId="177" fontId="0" fillId="0" borderId="14" xfId="0" applyNumberFormat="1" applyFont="1" applyBorder="1" applyAlignment="1">
      <alignment horizontal="center"/>
    </xf>
    <xf numFmtId="177" fontId="0" fillId="0" borderId="0" xfId="0" applyNumberFormat="1" applyAlignment="1">
      <alignment horizontal="center"/>
    </xf>
    <xf numFmtId="0" fontId="51" fillId="0" borderId="0" xfId="0" applyFont="1" applyBorder="1" applyAlignment="1">
      <alignment horizont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184" fontId="20" fillId="0" borderId="0" xfId="0" applyNumberFormat="1" applyFont="1" applyAlignment="1">
      <alignment/>
    </xf>
    <xf numFmtId="0" fontId="0" fillId="0" borderId="0" xfId="0" applyFont="1" applyAlignment="1">
      <alignment/>
    </xf>
    <xf numFmtId="0" fontId="38" fillId="0" borderId="0" xfId="0" applyFont="1" applyAlignment="1">
      <alignment/>
    </xf>
    <xf numFmtId="0" fontId="38" fillId="0" borderId="0" xfId="0" applyFont="1" applyAlignment="1">
      <alignment horizontal="center"/>
    </xf>
    <xf numFmtId="0" fontId="0" fillId="0" borderId="0" xfId="0" applyFont="1" applyAlignment="1">
      <alignment horizontal="right" vertical="top"/>
    </xf>
    <xf numFmtId="0" fontId="34" fillId="0" borderId="0" xfId="0" applyFont="1" applyAlignment="1">
      <alignment/>
    </xf>
    <xf numFmtId="0" fontId="22" fillId="0" borderId="0" xfId="0" applyFont="1" applyAlignment="1">
      <alignment/>
    </xf>
    <xf numFmtId="1" fontId="0" fillId="0" borderId="0" xfId="0" applyNumberFormat="1" applyFont="1" applyAlignment="1">
      <alignment/>
    </xf>
    <xf numFmtId="1" fontId="24" fillId="0" borderId="0" xfId="0" applyNumberFormat="1" applyFont="1" applyAlignment="1">
      <alignment/>
    </xf>
    <xf numFmtId="177" fontId="0" fillId="0" borderId="0" xfId="0" applyNumberFormat="1" applyFont="1" applyAlignment="1">
      <alignment/>
    </xf>
    <xf numFmtId="1" fontId="53" fillId="0" borderId="0" xfId="0" applyNumberFormat="1" applyFont="1" applyAlignment="1">
      <alignment/>
    </xf>
    <xf numFmtId="0" fontId="52" fillId="0" borderId="0" xfId="0" applyFont="1" applyAlignment="1">
      <alignment/>
    </xf>
    <xf numFmtId="14" fontId="0" fillId="0" borderId="0" xfId="0" applyNumberFormat="1" applyAlignment="1">
      <alignment/>
    </xf>
    <xf numFmtId="16" fontId="0" fillId="0" borderId="0" xfId="0" applyNumberFormat="1" applyAlignment="1">
      <alignment/>
    </xf>
    <xf numFmtId="14" fontId="32" fillId="0" borderId="0" xfId="0" applyNumberFormat="1" applyFont="1" applyAlignment="1">
      <alignment horizontal="left"/>
    </xf>
    <xf numFmtId="0" fontId="18" fillId="0" borderId="0" xfId="0" applyFont="1" applyAlignment="1">
      <alignment horizontal="left"/>
    </xf>
    <xf numFmtId="0" fontId="54" fillId="0" borderId="0" xfId="0" applyFont="1" applyAlignment="1">
      <alignment horizontal="center"/>
    </xf>
    <xf numFmtId="14" fontId="54" fillId="0" borderId="0" xfId="0" applyNumberFormat="1" applyFont="1" applyAlignment="1">
      <alignment horizontal="center"/>
    </xf>
    <xf numFmtId="0" fontId="51" fillId="0" borderId="0" xfId="0" applyFont="1" applyBorder="1" applyAlignment="1">
      <alignment/>
    </xf>
    <xf numFmtId="0" fontId="0" fillId="0" borderId="0" xfId="0" applyFont="1" applyAlignment="1">
      <alignment/>
    </xf>
    <xf numFmtId="49" fontId="51" fillId="0" borderId="0" xfId="0" applyNumberFormat="1" applyFont="1" applyAlignment="1">
      <alignment/>
    </xf>
    <xf numFmtId="14" fontId="54" fillId="0" borderId="0" xfId="0" applyNumberFormat="1" applyFont="1" applyAlignment="1">
      <alignment/>
    </xf>
    <xf numFmtId="0" fontId="0" fillId="0" borderId="14" xfId="0" applyFont="1" applyBorder="1" applyAlignment="1">
      <alignment horizontal="center"/>
    </xf>
    <xf numFmtId="0" fontId="0" fillId="0" borderId="14" xfId="0" applyFont="1" applyBorder="1" applyAlignment="1">
      <alignment/>
    </xf>
    <xf numFmtId="176" fontId="0" fillId="0" borderId="14" xfId="0" applyNumberFormat="1" applyBorder="1" applyAlignment="1">
      <alignment/>
    </xf>
    <xf numFmtId="1" fontId="0" fillId="0" borderId="14" xfId="0" applyNumberFormat="1" applyBorder="1" applyAlignment="1">
      <alignment/>
    </xf>
    <xf numFmtId="0" fontId="51" fillId="0" borderId="35" xfId="0" applyFont="1" applyFill="1" applyBorder="1" applyAlignment="1">
      <alignment/>
    </xf>
    <xf numFmtId="0" fontId="0" fillId="0" borderId="36" xfId="0" applyFont="1" applyFill="1" applyBorder="1" applyAlignment="1">
      <alignment/>
    </xf>
    <xf numFmtId="0" fontId="51" fillId="0" borderId="37" xfId="0" applyFont="1" applyFill="1" applyBorder="1" applyAlignment="1">
      <alignment/>
    </xf>
    <xf numFmtId="0" fontId="51" fillId="0" borderId="0" xfId="0" applyFont="1" applyFill="1" applyAlignment="1">
      <alignment/>
    </xf>
    <xf numFmtId="0" fontId="0" fillId="0" borderId="38" xfId="0" applyFont="1" applyFill="1" applyBorder="1" applyAlignment="1">
      <alignment/>
    </xf>
    <xf numFmtId="0" fontId="51" fillId="0" borderId="39" xfId="0" applyFont="1" applyFill="1" applyBorder="1" applyAlignment="1">
      <alignment/>
    </xf>
    <xf numFmtId="0" fontId="51" fillId="0" borderId="40"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175" fontId="0" fillId="0" borderId="0" xfId="0" applyNumberFormat="1" applyFont="1" applyFill="1" applyAlignment="1">
      <alignment/>
    </xf>
    <xf numFmtId="175" fontId="0" fillId="0" borderId="38" xfId="0" applyNumberFormat="1" applyFont="1" applyFill="1" applyBorder="1" applyAlignment="1">
      <alignment/>
    </xf>
    <xf numFmtId="0" fontId="0" fillId="0" borderId="37" xfId="0" applyFont="1" applyFill="1" applyBorder="1" applyAlignment="1">
      <alignment/>
    </xf>
    <xf numFmtId="175" fontId="0" fillId="0" borderId="10" xfId="0" applyNumberFormat="1" applyFont="1" applyFill="1" applyBorder="1" applyAlignment="1">
      <alignment/>
    </xf>
    <xf numFmtId="175" fontId="0" fillId="0" borderId="43" xfId="0" applyNumberFormat="1" applyFont="1" applyFill="1" applyBorder="1" applyAlignment="1">
      <alignment/>
    </xf>
    <xf numFmtId="0" fontId="0" fillId="0" borderId="0" xfId="0" applyFont="1" applyFill="1" applyBorder="1" applyAlignment="1">
      <alignment/>
    </xf>
    <xf numFmtId="175" fontId="0" fillId="0" borderId="0" xfId="0" applyNumberFormat="1" applyFont="1" applyFill="1" applyBorder="1" applyAlignment="1">
      <alignment/>
    </xf>
    <xf numFmtId="2" fontId="0" fillId="0" borderId="14" xfId="0" applyNumberFormat="1" applyFont="1" applyBorder="1" applyAlignment="1">
      <alignment/>
    </xf>
    <xf numFmtId="1" fontId="0" fillId="0" borderId="14" xfId="0" applyNumberFormat="1" applyFont="1" applyBorder="1" applyAlignment="1">
      <alignment/>
    </xf>
    <xf numFmtId="10" fontId="0" fillId="0" borderId="14" xfId="0" applyNumberFormat="1" applyFont="1" applyBorder="1" applyAlignment="1">
      <alignment/>
    </xf>
    <xf numFmtId="0" fontId="22" fillId="20" borderId="41" xfId="0" applyFont="1" applyFill="1" applyBorder="1" applyAlignment="1">
      <alignment/>
    </xf>
    <xf numFmtId="0" fontId="0" fillId="0" borderId="44" xfId="0" applyFont="1" applyFill="1" applyBorder="1" applyAlignment="1">
      <alignment/>
    </xf>
    <xf numFmtId="0" fontId="51" fillId="0" borderId="10" xfId="0" applyFont="1" applyFill="1" applyBorder="1" applyAlignment="1">
      <alignment/>
    </xf>
    <xf numFmtId="0" fontId="0" fillId="0" borderId="10" xfId="0" applyFont="1" applyFill="1" applyBorder="1" applyAlignment="1">
      <alignment/>
    </xf>
    <xf numFmtId="0" fontId="0" fillId="0" borderId="43" xfId="0" applyFont="1" applyFill="1" applyBorder="1" applyAlignment="1">
      <alignment/>
    </xf>
    <xf numFmtId="0" fontId="51" fillId="0" borderId="41" xfId="0" applyFont="1" applyFill="1" applyBorder="1" applyAlignment="1">
      <alignment/>
    </xf>
    <xf numFmtId="0" fontId="51" fillId="0" borderId="42" xfId="0" applyFont="1" applyFill="1" applyBorder="1" applyAlignment="1">
      <alignment/>
    </xf>
    <xf numFmtId="175" fontId="51" fillId="0" borderId="38" xfId="0" applyNumberFormat="1" applyFont="1" applyFill="1" applyBorder="1" applyAlignment="1">
      <alignment/>
    </xf>
    <xf numFmtId="0" fontId="51" fillId="0" borderId="0" xfId="0" applyFont="1" applyFill="1" applyBorder="1" applyAlignment="1">
      <alignment/>
    </xf>
    <xf numFmtId="175" fontId="51" fillId="0" borderId="36" xfId="0" applyNumberFormat="1" applyFont="1" applyFill="1" applyBorder="1" applyAlignment="1">
      <alignment/>
    </xf>
    <xf numFmtId="2" fontId="51" fillId="0" borderId="43" xfId="0" applyNumberFormat="1" applyFont="1" applyFill="1" applyBorder="1" applyAlignment="1">
      <alignment/>
    </xf>
    <xf numFmtId="0" fontId="55" fillId="0" borderId="0" xfId="0" applyFont="1" applyAlignment="1">
      <alignment/>
    </xf>
    <xf numFmtId="0" fontId="0" fillId="0" borderId="29" xfId="0" applyBorder="1" applyAlignment="1">
      <alignment horizontal="center"/>
    </xf>
    <xf numFmtId="0" fontId="51" fillId="0" borderId="0" xfId="0" applyFont="1" applyBorder="1" applyAlignment="1">
      <alignment horizontal="left"/>
    </xf>
    <xf numFmtId="0" fontId="21" fillId="0" borderId="34" xfId="0" applyFont="1" applyBorder="1" applyAlignment="1">
      <alignment wrapText="1"/>
    </xf>
    <xf numFmtId="0" fontId="0" fillId="0" borderId="33" xfId="0" applyFont="1" applyBorder="1" applyAlignment="1">
      <alignment horizontal="center" wrapText="1"/>
    </xf>
    <xf numFmtId="0" fontId="0" fillId="0" borderId="34" xfId="0" applyFont="1" applyBorder="1" applyAlignment="1">
      <alignment horizontal="center" wrapText="1"/>
    </xf>
    <xf numFmtId="0" fontId="0" fillId="0" borderId="0" xfId="0" applyFill="1" applyBorder="1" applyAlignment="1">
      <alignment horizontal="center"/>
    </xf>
    <xf numFmtId="0" fontId="18" fillId="0" borderId="22" xfId="0" applyFont="1" applyBorder="1" applyAlignment="1">
      <alignment horizontal="center"/>
    </xf>
    <xf numFmtId="49" fontId="18" fillId="0" borderId="22" xfId="42" applyNumberFormat="1" applyFont="1" applyFill="1" applyBorder="1" applyAlignment="1" applyProtection="1">
      <alignment horizontal="right"/>
      <protection/>
    </xf>
    <xf numFmtId="0" fontId="18" fillId="0" borderId="22" xfId="42" applyNumberFormat="1" applyFont="1" applyFill="1" applyBorder="1" applyAlignment="1" applyProtection="1">
      <alignment horizontal="left"/>
      <protection/>
    </xf>
    <xf numFmtId="0" fontId="0" fillId="0" borderId="22" xfId="0" applyFont="1" applyBorder="1" applyAlignment="1">
      <alignment/>
    </xf>
    <xf numFmtId="0" fontId="0" fillId="0" borderId="0" xfId="0" applyFont="1" applyAlignment="1">
      <alignment horizontal="left"/>
    </xf>
    <xf numFmtId="0" fontId="0" fillId="0" borderId="0" xfId="0" applyAlignment="1">
      <alignment horizontal="right"/>
    </xf>
    <xf numFmtId="177" fontId="47" fillId="0" borderId="0" xfId="0" applyNumberFormat="1" applyFont="1" applyFill="1" applyAlignment="1">
      <alignment/>
    </xf>
    <xf numFmtId="177" fontId="22" fillId="0" borderId="0" xfId="0" applyNumberFormat="1" applyFont="1" applyFill="1" applyAlignment="1">
      <alignment horizontal="center"/>
    </xf>
    <xf numFmtId="14" fontId="54" fillId="0" borderId="0" xfId="0" applyNumberFormat="1" applyFont="1" applyFill="1" applyAlignment="1">
      <alignment horizontal="center"/>
    </xf>
    <xf numFmtId="1" fontId="54" fillId="0" borderId="0" xfId="0" applyNumberFormat="1" applyFont="1" applyAlignment="1">
      <alignment horizontal="left"/>
    </xf>
    <xf numFmtId="185" fontId="0" fillId="0" borderId="0" xfId="0" applyNumberFormat="1" applyFont="1" applyFill="1" applyAlignment="1">
      <alignment/>
    </xf>
    <xf numFmtId="181" fontId="0" fillId="0" borderId="0" xfId="0" applyNumberFormat="1" applyFont="1" applyFill="1" applyAlignment="1">
      <alignment/>
    </xf>
    <xf numFmtId="1" fontId="0" fillId="0" borderId="0" xfId="0" applyNumberFormat="1" applyFont="1" applyFill="1" applyAlignment="1">
      <alignment/>
    </xf>
    <xf numFmtId="1" fontId="0" fillId="0" borderId="0" xfId="0" applyNumberFormat="1" applyFont="1" applyFill="1" applyAlignment="1">
      <alignment horizontal="right"/>
    </xf>
    <xf numFmtId="0" fontId="22" fillId="0" borderId="0" xfId="0" applyFont="1" applyFill="1" applyAlignment="1">
      <alignment horizontal="center"/>
    </xf>
    <xf numFmtId="49" fontId="0" fillId="0" borderId="0" xfId="0" applyNumberFormat="1" applyAlignment="1">
      <alignment/>
    </xf>
    <xf numFmtId="0" fontId="0" fillId="0" borderId="0" xfId="0" applyFont="1" applyBorder="1" applyAlignment="1">
      <alignment horizontal="right"/>
    </xf>
    <xf numFmtId="1" fontId="0" fillId="0" borderId="0" xfId="0" applyNumberFormat="1" applyFont="1" applyBorder="1" applyAlignment="1">
      <alignment horizontal="right"/>
    </xf>
    <xf numFmtId="49" fontId="0" fillId="0" borderId="0" xfId="0" applyNumberFormat="1" applyAlignment="1" quotePrefix="1">
      <alignment/>
    </xf>
    <xf numFmtId="185" fontId="0" fillId="0" borderId="0" xfId="0" applyNumberFormat="1" applyFont="1" applyBorder="1" applyAlignment="1">
      <alignment horizontal="right"/>
    </xf>
    <xf numFmtId="173" fontId="0" fillId="0" borderId="0" xfId="0" applyNumberFormat="1" applyFont="1" applyBorder="1" applyAlignment="1">
      <alignment horizontal="right"/>
    </xf>
    <xf numFmtId="180" fontId="0" fillId="0" borderId="0" xfId="0" applyNumberFormat="1" applyFont="1" applyBorder="1" applyAlignment="1">
      <alignment horizontal="right"/>
    </xf>
    <xf numFmtId="181" fontId="0" fillId="0" borderId="0" xfId="0" applyNumberFormat="1" applyFont="1" applyBorder="1" applyAlignment="1">
      <alignment horizontal="right"/>
    </xf>
    <xf numFmtId="49" fontId="0" fillId="0" borderId="0" xfId="0" applyNumberFormat="1" applyFont="1" applyAlignment="1">
      <alignment/>
    </xf>
    <xf numFmtId="186" fontId="0" fillId="0" borderId="0" xfId="0" applyNumberFormat="1" applyFont="1" applyBorder="1" applyAlignment="1">
      <alignment horizontal="right"/>
    </xf>
    <xf numFmtId="175" fontId="0" fillId="0" borderId="0" xfId="0" applyNumberFormat="1" applyFont="1" applyFill="1" applyBorder="1" applyAlignment="1">
      <alignment horizontal="right"/>
    </xf>
    <xf numFmtId="175" fontId="0" fillId="0" borderId="0" xfId="0" applyNumberFormat="1" applyFont="1" applyBorder="1" applyAlignment="1">
      <alignment horizontal="right"/>
    </xf>
    <xf numFmtId="2" fontId="0" fillId="0" borderId="0" xfId="0" applyNumberFormat="1" applyFont="1" applyFill="1" applyBorder="1" applyAlignment="1">
      <alignment horizontal="right"/>
    </xf>
    <xf numFmtId="0" fontId="0" fillId="0" borderId="0" xfId="0" applyNumberFormat="1" applyFont="1" applyFill="1" applyBorder="1" applyAlignment="1">
      <alignment horizontal="right"/>
    </xf>
    <xf numFmtId="180" fontId="0" fillId="0" borderId="0" xfId="0" applyNumberFormat="1" applyAlignment="1">
      <alignment/>
    </xf>
    <xf numFmtId="0" fontId="0" fillId="0" borderId="0" xfId="0" applyNumberFormat="1" applyAlignment="1">
      <alignment/>
    </xf>
    <xf numFmtId="20" fontId="22" fillId="0" borderId="0" xfId="0" applyNumberFormat="1" applyFont="1" applyAlignment="1">
      <alignment horizontal="center"/>
    </xf>
    <xf numFmtId="177" fontId="32" fillId="0" borderId="0" xfId="0" applyNumberFormat="1" applyFont="1" applyFill="1" applyAlignment="1" quotePrefix="1">
      <alignment horizontal="center"/>
    </xf>
    <xf numFmtId="182" fontId="59" fillId="0" borderId="0" xfId="0" applyNumberFormat="1" applyFont="1" applyBorder="1" applyAlignment="1">
      <alignment/>
    </xf>
    <xf numFmtId="10" fontId="20" fillId="0" borderId="0" xfId="0" applyNumberFormat="1" applyFont="1" applyBorder="1" applyAlignment="1">
      <alignment/>
    </xf>
    <xf numFmtId="177" fontId="20" fillId="0" borderId="0" xfId="0" applyNumberFormat="1" applyFont="1" applyBorder="1" applyAlignment="1">
      <alignment horizontal="left"/>
    </xf>
    <xf numFmtId="1" fontId="0" fillId="0" borderId="0" xfId="122" applyNumberFormat="1" applyFont="1">
      <alignment/>
      <protection/>
    </xf>
    <xf numFmtId="0" fontId="22" fillId="0" borderId="0" xfId="127" applyFont="1">
      <alignment/>
      <protection/>
    </xf>
    <xf numFmtId="0" fontId="20" fillId="0" borderId="0" xfId="66" applyFont="1">
      <alignment/>
      <protection/>
    </xf>
    <xf numFmtId="0" fontId="32" fillId="0" borderId="0" xfId="76" applyFont="1" applyAlignment="1">
      <alignment horizontal="left"/>
      <protection/>
    </xf>
    <xf numFmtId="0" fontId="22" fillId="24" borderId="0" xfId="82" applyFont="1" applyFill="1" applyBorder="1" applyAlignment="1">
      <alignment horizontal="center"/>
      <protection/>
    </xf>
    <xf numFmtId="0" fontId="0" fillId="0" borderId="0" xfId="85">
      <alignment/>
      <protection/>
    </xf>
    <xf numFmtId="0" fontId="22" fillId="0" borderId="0" xfId="85" applyFont="1">
      <alignment/>
      <protection/>
    </xf>
    <xf numFmtId="0" fontId="0" fillId="0" borderId="0" xfId="85" applyFont="1">
      <alignment/>
      <protection/>
    </xf>
    <xf numFmtId="176" fontId="22" fillId="0" borderId="0" xfId="85" applyNumberFormat="1" applyFont="1" applyAlignment="1">
      <alignment horizontal="center"/>
      <protection/>
    </xf>
    <xf numFmtId="0" fontId="22" fillId="0" borderId="0" xfId="91" applyFont="1">
      <alignment/>
      <protection/>
    </xf>
    <xf numFmtId="1" fontId="0" fillId="0" borderId="0" xfId="91" applyNumberFormat="1" applyFont="1">
      <alignment/>
      <protection/>
    </xf>
    <xf numFmtId="1" fontId="22" fillId="0" borderId="0" xfId="91" applyNumberFormat="1" applyFont="1">
      <alignment/>
      <protection/>
    </xf>
    <xf numFmtId="0" fontId="22" fillId="0" borderId="0" xfId="92" applyFont="1">
      <alignment/>
      <protection/>
    </xf>
    <xf numFmtId="176" fontId="22" fillId="0" borderId="0" xfId="92" applyNumberFormat="1" applyFont="1">
      <alignment/>
      <protection/>
    </xf>
    <xf numFmtId="176" fontId="0" fillId="0" borderId="0" xfId="92" applyNumberFormat="1" applyFont="1">
      <alignment/>
      <protection/>
    </xf>
    <xf numFmtId="174" fontId="22" fillId="0" borderId="0" xfId="92" applyNumberFormat="1" applyFont="1">
      <alignment/>
      <protection/>
    </xf>
    <xf numFmtId="177" fontId="32" fillId="0" borderId="0" xfId="102" applyNumberFormat="1" applyFont="1" applyFill="1" applyAlignment="1" quotePrefix="1">
      <alignment horizontal="center"/>
      <protection/>
    </xf>
    <xf numFmtId="177" fontId="32" fillId="0" borderId="0" xfId="93" applyNumberFormat="1" applyFont="1" applyFill="1" applyAlignment="1">
      <alignment horizontal="center"/>
      <protection/>
    </xf>
    <xf numFmtId="0" fontId="20" fillId="0" borderId="0" xfId="94" applyFont="1">
      <alignment/>
      <protection/>
    </xf>
    <xf numFmtId="0" fontId="20" fillId="0" borderId="0" xfId="94" applyFont="1" applyAlignment="1">
      <alignment horizontal="center"/>
      <protection/>
    </xf>
    <xf numFmtId="0" fontId="20" fillId="0" borderId="0" xfId="94" applyFont="1" applyBorder="1" applyAlignment="1">
      <alignment horizontal="center"/>
      <protection/>
    </xf>
    <xf numFmtId="0" fontId="20" fillId="0" borderId="0" xfId="94" applyFont="1" applyFill="1" applyAlignment="1">
      <alignment horizontal="center"/>
      <protection/>
    </xf>
    <xf numFmtId="0" fontId="20" fillId="0" borderId="0" xfId="94" applyFont="1" applyFill="1">
      <alignment/>
      <protection/>
    </xf>
    <xf numFmtId="0" fontId="32" fillId="0" borderId="0" xfId="94" applyFont="1" applyFill="1" applyBorder="1" applyAlignment="1">
      <alignment horizontal="center"/>
      <protection/>
    </xf>
    <xf numFmtId="176" fontId="41" fillId="0" borderId="17" xfId="94" applyNumberFormat="1" applyFont="1" applyBorder="1" applyAlignment="1">
      <alignment horizontal="right"/>
      <protection/>
    </xf>
    <xf numFmtId="0" fontId="20" fillId="0" borderId="17" xfId="94" applyFont="1" applyBorder="1">
      <alignment/>
      <protection/>
    </xf>
    <xf numFmtId="0" fontId="21" fillId="0" borderId="17" xfId="94" applyFont="1" applyBorder="1" applyAlignment="1">
      <alignment horizontal="center"/>
      <protection/>
    </xf>
    <xf numFmtId="0" fontId="33" fillId="0" borderId="0" xfId="94" applyFont="1" applyFill="1" applyAlignment="1">
      <alignment horizontal="center"/>
      <protection/>
    </xf>
    <xf numFmtId="0" fontId="21" fillId="0" borderId="18" xfId="94" applyFont="1" applyBorder="1" applyAlignment="1">
      <alignment horizontal="center"/>
      <protection/>
    </xf>
    <xf numFmtId="0" fontId="33" fillId="0" borderId="10" xfId="94" applyFont="1" applyFill="1" applyBorder="1" applyAlignment="1">
      <alignment horizontal="center"/>
      <protection/>
    </xf>
    <xf numFmtId="1" fontId="21" fillId="0" borderId="0" xfId="94" applyNumberFormat="1" applyFont="1" applyAlignment="1">
      <alignment horizontal="center"/>
      <protection/>
    </xf>
    <xf numFmtId="0" fontId="20" fillId="0" borderId="17" xfId="94" applyFont="1" applyBorder="1" applyAlignment="1">
      <alignment horizontal="left"/>
      <protection/>
    </xf>
    <xf numFmtId="177" fontId="42" fillId="0" borderId="0" xfId="94" applyNumberFormat="1" applyFont="1" applyFill="1">
      <alignment/>
      <protection/>
    </xf>
    <xf numFmtId="177" fontId="21" fillId="0" borderId="0" xfId="94" applyNumberFormat="1" applyFont="1" applyFill="1" applyAlignment="1">
      <alignment horizontal="left"/>
      <protection/>
    </xf>
    <xf numFmtId="0" fontId="32" fillId="0" borderId="17" xfId="94" applyFont="1" applyFill="1" applyBorder="1" applyAlignment="1">
      <alignment horizontal="center"/>
      <protection/>
    </xf>
    <xf numFmtId="177" fontId="32" fillId="0" borderId="0" xfId="94" applyNumberFormat="1" applyFont="1" applyFill="1" applyAlignment="1">
      <alignment horizontal="center"/>
      <protection/>
    </xf>
    <xf numFmtId="0" fontId="32" fillId="0" borderId="18" xfId="94" applyFont="1" applyFill="1" applyBorder="1" applyAlignment="1">
      <alignment horizontal="center"/>
      <protection/>
    </xf>
    <xf numFmtId="177" fontId="32" fillId="0" borderId="0" xfId="94" applyNumberFormat="1" applyFont="1" applyFill="1" applyBorder="1">
      <alignment/>
      <protection/>
    </xf>
    <xf numFmtId="0" fontId="20" fillId="0" borderId="0" xfId="94" applyNumberFormat="1" applyFont="1" applyFill="1" applyBorder="1" applyAlignment="1">
      <alignment horizontal="center"/>
      <protection/>
    </xf>
    <xf numFmtId="0" fontId="21" fillId="0" borderId="18" xfId="94" applyFont="1" applyBorder="1">
      <alignment/>
      <protection/>
    </xf>
    <xf numFmtId="177" fontId="21" fillId="0" borderId="10" xfId="94" applyNumberFormat="1" applyFont="1" applyFill="1" applyBorder="1">
      <alignment/>
      <protection/>
    </xf>
    <xf numFmtId="0" fontId="21" fillId="0" borderId="17" xfId="94" applyFont="1" applyBorder="1">
      <alignment/>
      <protection/>
    </xf>
    <xf numFmtId="177" fontId="21" fillId="0" borderId="0" xfId="94" applyNumberFormat="1" applyFont="1" applyFill="1">
      <alignment/>
      <protection/>
    </xf>
    <xf numFmtId="0" fontId="21" fillId="0" borderId="0" xfId="94" applyFont="1" applyFill="1" applyAlignment="1">
      <alignment horizontal="center"/>
      <protection/>
    </xf>
    <xf numFmtId="177" fontId="21" fillId="0" borderId="0" xfId="94" applyNumberFormat="1" applyFont="1" applyFill="1" applyAlignment="1">
      <alignment horizontal="center"/>
      <protection/>
    </xf>
    <xf numFmtId="177" fontId="21" fillId="0" borderId="0" xfId="94" applyNumberFormat="1" applyFont="1" applyFill="1" applyBorder="1" applyAlignment="1">
      <alignment horizontal="center"/>
      <protection/>
    </xf>
    <xf numFmtId="49" fontId="20" fillId="0" borderId="0" xfId="94" applyNumberFormat="1" applyFont="1" applyFill="1" applyBorder="1" applyAlignment="1">
      <alignment horizontal="center"/>
      <protection/>
    </xf>
    <xf numFmtId="177" fontId="32" fillId="0" borderId="0" xfId="94" applyNumberFormat="1" applyFont="1" applyFill="1" applyBorder="1" applyAlignment="1">
      <alignment horizontal="center"/>
      <protection/>
    </xf>
    <xf numFmtId="49" fontId="20" fillId="0" borderId="10" xfId="94" applyNumberFormat="1" applyFont="1" applyFill="1" applyBorder="1" applyAlignment="1">
      <alignment horizontal="center"/>
      <protection/>
    </xf>
    <xf numFmtId="177" fontId="32" fillId="0" borderId="10" xfId="94" applyNumberFormat="1" applyFont="1" applyFill="1" applyBorder="1" applyAlignment="1">
      <alignment horizontal="center"/>
      <protection/>
    </xf>
    <xf numFmtId="177" fontId="32" fillId="0" borderId="0" xfId="94" applyNumberFormat="1" applyFont="1" applyFill="1" applyAlignment="1">
      <alignment horizontal="left"/>
      <protection/>
    </xf>
    <xf numFmtId="177" fontId="20" fillId="0" borderId="18" xfId="94" applyNumberFormat="1" applyFont="1" applyFill="1" applyBorder="1" applyAlignment="1">
      <alignment horizontal="center"/>
      <protection/>
    </xf>
    <xf numFmtId="177" fontId="42" fillId="0" borderId="10" xfId="94" applyNumberFormat="1" applyFont="1" applyFill="1" applyBorder="1">
      <alignment/>
      <protection/>
    </xf>
    <xf numFmtId="177" fontId="43" fillId="0" borderId="0" xfId="94" applyNumberFormat="1" applyFont="1" applyFill="1" applyAlignment="1">
      <alignment horizontal="center"/>
      <protection/>
    </xf>
    <xf numFmtId="0" fontId="32" fillId="0" borderId="17" xfId="94" applyFont="1" applyBorder="1" applyAlignment="1">
      <alignment horizontal="center"/>
      <protection/>
    </xf>
    <xf numFmtId="177" fontId="33" fillId="0" borderId="0" xfId="94" applyNumberFormat="1" applyFont="1" applyFill="1" applyAlignment="1">
      <alignment horizontal="center"/>
      <protection/>
    </xf>
    <xf numFmtId="177" fontId="42" fillId="0" borderId="0" xfId="94" applyNumberFormat="1" applyFont="1">
      <alignment/>
      <protection/>
    </xf>
    <xf numFmtId="1" fontId="35" fillId="0" borderId="0" xfId="94" applyNumberFormat="1" applyFont="1" applyFill="1" applyBorder="1" applyAlignment="1">
      <alignment horizontal="center"/>
      <protection/>
    </xf>
    <xf numFmtId="49" fontId="20" fillId="0" borderId="0" xfId="94" applyNumberFormat="1" applyFont="1" applyFill="1" applyBorder="1" applyAlignment="1">
      <alignment horizontal="center" wrapText="1"/>
      <protection/>
    </xf>
    <xf numFmtId="0" fontId="42" fillId="0" borderId="0" xfId="94" applyFont="1" applyFill="1" applyAlignment="1">
      <alignment horizontal="left"/>
      <protection/>
    </xf>
    <xf numFmtId="177" fontId="33" fillId="0" borderId="0" xfId="94" applyNumberFormat="1" applyFont="1" applyFill="1" applyBorder="1" applyAlignment="1">
      <alignment horizontal="center"/>
      <protection/>
    </xf>
    <xf numFmtId="177" fontId="20" fillId="0" borderId="0" xfId="94" applyNumberFormat="1" applyFont="1" applyFill="1" applyAlignment="1">
      <alignment horizontal="left"/>
      <protection/>
    </xf>
    <xf numFmtId="0" fontId="20" fillId="0" borderId="22" xfId="94" applyFont="1" applyBorder="1" applyAlignment="1">
      <alignment horizontal="center"/>
      <protection/>
    </xf>
    <xf numFmtId="1" fontId="49" fillId="0" borderId="23" xfId="94" applyNumberFormat="1" applyFont="1" applyBorder="1" applyAlignment="1">
      <alignment horizontal="center"/>
      <protection/>
    </xf>
    <xf numFmtId="177" fontId="20" fillId="0" borderId="22" xfId="94" applyNumberFormat="1" applyFont="1" applyBorder="1">
      <alignment/>
      <protection/>
    </xf>
    <xf numFmtId="0" fontId="20" fillId="0" borderId="17" xfId="94" applyFont="1" applyFill="1" applyBorder="1" applyAlignment="1">
      <alignment horizontal="left"/>
      <protection/>
    </xf>
    <xf numFmtId="0" fontId="50" fillId="0" borderId="0" xfId="94" applyFont="1" applyAlignment="1">
      <alignment horizontal="center"/>
      <protection/>
    </xf>
    <xf numFmtId="0" fontId="32" fillId="0" borderId="23" xfId="94" applyFont="1" applyBorder="1" applyAlignment="1">
      <alignment horizontal="center"/>
      <protection/>
    </xf>
    <xf numFmtId="177" fontId="32" fillId="0" borderId="22" xfId="94" applyNumberFormat="1" applyFont="1" applyFill="1" applyBorder="1" applyAlignment="1">
      <alignment horizontal="center"/>
      <protection/>
    </xf>
    <xf numFmtId="177" fontId="20" fillId="0" borderId="0" xfId="94" applyNumberFormat="1" applyFont="1" applyFill="1" applyAlignment="1">
      <alignment horizontal="center" vertical="center"/>
      <protection/>
    </xf>
    <xf numFmtId="177" fontId="33" fillId="0" borderId="0" xfId="94" applyNumberFormat="1" applyFont="1" applyFill="1" applyBorder="1" applyAlignment="1">
      <alignment horizontal="center" vertical="center"/>
      <protection/>
    </xf>
    <xf numFmtId="177" fontId="32" fillId="0" borderId="0" xfId="94" applyNumberFormat="1" applyFont="1" applyFill="1" applyAlignment="1">
      <alignment horizontal="center" vertical="center"/>
      <protection/>
    </xf>
    <xf numFmtId="177" fontId="20" fillId="0" borderId="0" xfId="94" applyNumberFormat="1" applyFont="1" applyFill="1">
      <alignment/>
      <protection/>
    </xf>
    <xf numFmtId="10" fontId="20" fillId="0" borderId="0" xfId="226" applyNumberFormat="1" applyFont="1" applyFill="1" applyBorder="1" applyAlignment="1" applyProtection="1">
      <alignment horizontal="center"/>
      <protection/>
    </xf>
    <xf numFmtId="0" fontId="21" fillId="0" borderId="45" xfId="0" applyFont="1" applyBorder="1" applyAlignment="1">
      <alignment horizontal="center"/>
    </xf>
    <xf numFmtId="0" fontId="35" fillId="0" borderId="45" xfId="0" applyFont="1" applyBorder="1" applyAlignment="1">
      <alignment/>
    </xf>
    <xf numFmtId="10" fontId="32" fillId="24" borderId="0" xfId="227" applyNumberFormat="1" applyFont="1" applyFill="1" applyBorder="1" applyAlignment="1" applyProtection="1">
      <alignment horizontal="center"/>
      <protection/>
    </xf>
    <xf numFmtId="10" fontId="20" fillId="0" borderId="45" xfId="0" applyNumberFormat="1" applyFont="1" applyBorder="1" applyAlignment="1">
      <alignment/>
    </xf>
    <xf numFmtId="0" fontId="20" fillId="0" borderId="45" xfId="0" applyFont="1" applyBorder="1" applyAlignment="1">
      <alignment/>
    </xf>
    <xf numFmtId="187" fontId="20" fillId="0" borderId="0" xfId="0" applyNumberFormat="1" applyFont="1" applyAlignment="1">
      <alignment/>
    </xf>
    <xf numFmtId="10" fontId="20" fillId="0" borderId="0" xfId="0" applyNumberFormat="1" applyFont="1" applyAlignment="1">
      <alignment/>
    </xf>
    <xf numFmtId="10" fontId="32" fillId="24" borderId="0" xfId="228" applyNumberFormat="1" applyFont="1" applyFill="1" applyBorder="1" applyAlignment="1" applyProtection="1">
      <alignment horizontal="center"/>
      <protection/>
    </xf>
    <xf numFmtId="0" fontId="21" fillId="0" borderId="0" xfId="81" applyFont="1" applyAlignment="1">
      <alignment horizontal="center"/>
      <protection/>
    </xf>
    <xf numFmtId="177" fontId="21" fillId="0" borderId="0" xfId="81" applyNumberFormat="1" applyFont="1" applyFill="1" applyBorder="1" applyAlignment="1">
      <alignment horizontal="center"/>
      <protection/>
    </xf>
    <xf numFmtId="0" fontId="20" fillId="0" borderId="0" xfId="81" applyFont="1">
      <alignment/>
      <protection/>
    </xf>
    <xf numFmtId="0" fontId="20" fillId="0" borderId="0" xfId="81" applyFont="1" applyAlignment="1">
      <alignment horizontal="left"/>
      <protection/>
    </xf>
    <xf numFmtId="0" fontId="20" fillId="0" borderId="0" xfId="81" applyFont="1" applyFill="1">
      <alignment/>
      <protection/>
    </xf>
    <xf numFmtId="177" fontId="32" fillId="0" borderId="0" xfId="81" applyNumberFormat="1" applyFont="1" applyFill="1" applyAlignment="1">
      <alignment horizontal="center"/>
      <protection/>
    </xf>
    <xf numFmtId="0" fontId="31" fillId="0" borderId="0" xfId="81" applyFont="1" applyFill="1" applyAlignment="1">
      <alignment horizontal="left"/>
      <protection/>
    </xf>
    <xf numFmtId="0" fontId="31" fillId="0" borderId="0" xfId="81" applyFont="1" applyFill="1">
      <alignment/>
      <protection/>
    </xf>
    <xf numFmtId="177" fontId="21" fillId="0" borderId="10" xfId="81" applyNumberFormat="1" applyFont="1" applyFill="1" applyBorder="1">
      <alignment/>
      <protection/>
    </xf>
    <xf numFmtId="0" fontId="21" fillId="0" borderId="0" xfId="81" applyFont="1" applyAlignment="1">
      <alignment horizontal="left"/>
      <protection/>
    </xf>
    <xf numFmtId="0" fontId="21" fillId="0" borderId="0" xfId="81" applyFont="1">
      <alignment/>
      <protection/>
    </xf>
    <xf numFmtId="177" fontId="21" fillId="25" borderId="0" xfId="81" applyNumberFormat="1" applyFont="1" applyFill="1">
      <alignment/>
      <protection/>
    </xf>
    <xf numFmtId="0" fontId="21" fillId="0" borderId="0" xfId="81" applyFont="1" applyFill="1" applyAlignment="1">
      <alignment horizontal="center"/>
      <protection/>
    </xf>
    <xf numFmtId="177" fontId="20" fillId="0" borderId="0" xfId="81" applyNumberFormat="1" applyFont="1" applyFill="1" applyAlignment="1">
      <alignment horizontal="center"/>
      <protection/>
    </xf>
    <xf numFmtId="2" fontId="45" fillId="0" borderId="0" xfId="81" applyNumberFormat="1" applyFont="1" applyFill="1" applyBorder="1" applyAlignment="1">
      <alignment horizontal="center"/>
      <protection/>
    </xf>
    <xf numFmtId="177" fontId="20" fillId="0" borderId="0" xfId="81" applyNumberFormat="1" applyFont="1" applyFill="1" applyBorder="1" applyAlignment="1">
      <alignment horizontal="center"/>
      <protection/>
    </xf>
    <xf numFmtId="1" fontId="20" fillId="0" borderId="0" xfId="81" applyNumberFormat="1" applyFont="1" applyFill="1" applyBorder="1" applyAlignment="1">
      <alignment horizontal="center"/>
      <protection/>
    </xf>
    <xf numFmtId="2" fontId="32" fillId="0" borderId="0" xfId="81" applyNumberFormat="1" applyFont="1" applyFill="1" applyBorder="1" applyAlignment="1">
      <alignment horizontal="center"/>
      <protection/>
    </xf>
    <xf numFmtId="1" fontId="20" fillId="0" borderId="0" xfId="81" applyNumberFormat="1" applyFont="1" applyFill="1" applyAlignment="1">
      <alignment horizontal="center"/>
      <protection/>
    </xf>
    <xf numFmtId="0" fontId="21" fillId="0" borderId="0" xfId="81" applyFont="1" applyFill="1" applyAlignment="1">
      <alignment horizontal="left"/>
      <protection/>
    </xf>
    <xf numFmtId="0" fontId="35" fillId="0" borderId="0" xfId="81" applyFont="1" applyFill="1">
      <alignment/>
      <protection/>
    </xf>
    <xf numFmtId="0" fontId="20" fillId="0" borderId="0" xfId="81" applyFont="1" applyFill="1" applyAlignment="1">
      <alignment horizontal="left"/>
      <protection/>
    </xf>
    <xf numFmtId="177" fontId="32" fillId="0" borderId="46" xfId="81" applyNumberFormat="1" applyFont="1" applyFill="1" applyBorder="1" applyAlignment="1">
      <alignment horizontal="center"/>
      <protection/>
    </xf>
    <xf numFmtId="177" fontId="32" fillId="25" borderId="0" xfId="81" applyNumberFormat="1" applyFont="1" applyFill="1" applyAlignment="1">
      <alignment horizontal="center"/>
      <protection/>
    </xf>
    <xf numFmtId="0" fontId="0" fillId="0" borderId="0" xfId="81">
      <alignment/>
      <protection/>
    </xf>
    <xf numFmtId="0" fontId="0" fillId="0" borderId="0" xfId="81" applyBorder="1">
      <alignment/>
      <protection/>
    </xf>
    <xf numFmtId="177" fontId="42" fillId="0" borderId="10" xfId="81" applyNumberFormat="1" applyFont="1" applyFill="1" applyBorder="1">
      <alignment/>
      <protection/>
    </xf>
    <xf numFmtId="177" fontId="43" fillId="25" borderId="0" xfId="81" applyNumberFormat="1" applyFont="1" applyFill="1" applyAlignment="1">
      <alignment horizontal="center"/>
      <protection/>
    </xf>
    <xf numFmtId="177" fontId="20" fillId="0" borderId="0" xfId="81" applyNumberFormat="1" applyFont="1" applyAlignment="1">
      <alignment horizontal="center"/>
      <protection/>
    </xf>
    <xf numFmtId="177" fontId="20" fillId="0" borderId="0" xfId="81" applyNumberFormat="1" applyFont="1" applyFill="1">
      <alignment/>
      <protection/>
    </xf>
    <xf numFmtId="0" fontId="31" fillId="0" borderId="0" xfId="81" applyFont="1" applyAlignment="1">
      <alignment horizontal="left"/>
      <protection/>
    </xf>
    <xf numFmtId="0" fontId="31" fillId="0" borderId="0" xfId="81" applyFont="1">
      <alignment/>
      <protection/>
    </xf>
    <xf numFmtId="0" fontId="21" fillId="0" borderId="0" xfId="81" applyFont="1" applyFill="1">
      <alignment/>
      <protection/>
    </xf>
    <xf numFmtId="177" fontId="32" fillId="0" borderId="0" xfId="81" applyNumberFormat="1" applyFont="1" applyFill="1" applyBorder="1" applyAlignment="1">
      <alignment horizontal="center"/>
      <protection/>
    </xf>
    <xf numFmtId="177" fontId="32" fillId="25" borderId="0" xfId="81" applyNumberFormat="1" applyFont="1" applyFill="1" applyBorder="1" applyAlignment="1">
      <alignment horizontal="center"/>
      <protection/>
    </xf>
    <xf numFmtId="1" fontId="21" fillId="0" borderId="0" xfId="81" applyNumberFormat="1" applyFont="1" applyFill="1" applyAlignment="1">
      <alignment horizontal="center"/>
      <protection/>
    </xf>
    <xf numFmtId="49" fontId="21" fillId="0" borderId="0" xfId="81" applyNumberFormat="1" applyFont="1" applyFill="1" applyAlignment="1">
      <alignment horizontal="center"/>
      <protection/>
    </xf>
    <xf numFmtId="0" fontId="47" fillId="0" borderId="0" xfId="81" applyFont="1">
      <alignment/>
      <protection/>
    </xf>
    <xf numFmtId="0" fontId="47" fillId="0" borderId="0" xfId="81" applyFont="1" applyFill="1">
      <alignment/>
      <protection/>
    </xf>
    <xf numFmtId="0" fontId="42" fillId="0" borderId="0" xfId="81" applyFont="1" applyFill="1" applyAlignment="1">
      <alignment horizontal="left"/>
      <protection/>
    </xf>
    <xf numFmtId="177" fontId="33" fillId="0" borderId="0" xfId="81" applyNumberFormat="1" applyFont="1" applyFill="1" applyBorder="1" applyAlignment="1">
      <alignment horizontal="center"/>
      <protection/>
    </xf>
    <xf numFmtId="177" fontId="20" fillId="0" borderId="0" xfId="81" applyNumberFormat="1" applyFont="1" applyFill="1" applyAlignment="1">
      <alignment horizontal="left"/>
      <protection/>
    </xf>
    <xf numFmtId="0" fontId="33" fillId="25" borderId="0" xfId="81" applyFont="1" applyFill="1" applyAlignment="1">
      <alignment horizontal="center"/>
      <protection/>
    </xf>
    <xf numFmtId="177" fontId="20" fillId="0" borderId="0" xfId="81" applyNumberFormat="1" applyFont="1">
      <alignment/>
      <protection/>
    </xf>
    <xf numFmtId="0" fontId="33" fillId="0" borderId="0" xfId="81" applyFont="1" applyFill="1" applyAlignment="1">
      <alignment horizontal="center"/>
      <protection/>
    </xf>
    <xf numFmtId="1" fontId="32" fillId="0" borderId="0" xfId="81" applyNumberFormat="1" applyFont="1" applyFill="1" applyAlignment="1">
      <alignment horizontal="center"/>
      <protection/>
    </xf>
    <xf numFmtId="49" fontId="32" fillId="0" borderId="0" xfId="81" applyNumberFormat="1" applyFont="1" applyFill="1" applyAlignment="1">
      <alignment horizontal="center"/>
      <protection/>
    </xf>
    <xf numFmtId="0" fontId="32" fillId="0" borderId="0" xfId="81" applyNumberFormat="1" applyFont="1" applyFill="1" applyAlignment="1">
      <alignment horizontal="center"/>
      <protection/>
    </xf>
    <xf numFmtId="0" fontId="0" fillId="0" borderId="0" xfId="81" applyBorder="1" applyAlignment="1">
      <alignment horizontal="center"/>
      <protection/>
    </xf>
    <xf numFmtId="0" fontId="22" fillId="0" borderId="0" xfId="81" applyFont="1" applyFill="1" applyBorder="1" applyAlignment="1">
      <alignment horizontal="center"/>
      <protection/>
    </xf>
    <xf numFmtId="0" fontId="32" fillId="0" borderId="0" xfId="81" applyFont="1">
      <alignment/>
      <protection/>
    </xf>
    <xf numFmtId="177" fontId="35" fillId="0" borderId="0" xfId="81" applyNumberFormat="1" applyFont="1" applyBorder="1" applyAlignment="1">
      <alignment horizontal="center"/>
      <protection/>
    </xf>
    <xf numFmtId="177" fontId="20" fillId="0" borderId="0" xfId="81" applyNumberFormat="1" applyFont="1" applyBorder="1" applyAlignment="1">
      <alignment horizontal="center"/>
      <protection/>
    </xf>
    <xf numFmtId="1" fontId="20" fillId="0" borderId="0" xfId="81" applyNumberFormat="1" applyFont="1" applyAlignment="1">
      <alignment horizontal="center"/>
      <protection/>
    </xf>
    <xf numFmtId="177" fontId="32" fillId="0" borderId="22" xfId="81" applyNumberFormat="1" applyFont="1" applyFill="1" applyBorder="1" applyAlignment="1">
      <alignment horizontal="center"/>
      <protection/>
    </xf>
    <xf numFmtId="177" fontId="33" fillId="25" borderId="0" xfId="81" applyNumberFormat="1" applyFont="1" applyFill="1" applyBorder="1" applyAlignment="1">
      <alignment horizontal="center"/>
      <protection/>
    </xf>
    <xf numFmtId="177" fontId="21" fillId="0" borderId="0" xfId="81" applyNumberFormat="1" applyFont="1" applyBorder="1" applyAlignment="1">
      <alignment horizontal="center"/>
      <protection/>
    </xf>
    <xf numFmtId="1" fontId="21" fillId="0" borderId="0" xfId="81" applyNumberFormat="1" applyFont="1" applyBorder="1" applyAlignment="1">
      <alignment horizontal="center"/>
      <protection/>
    </xf>
    <xf numFmtId="177" fontId="20" fillId="0" borderId="0" xfId="81" applyNumberFormat="1" applyFont="1" applyFill="1" applyAlignment="1">
      <alignment horizontal="center" vertical="center"/>
      <protection/>
    </xf>
    <xf numFmtId="177" fontId="20" fillId="0" borderId="0" xfId="81" applyNumberFormat="1" applyFont="1" applyFill="1" applyBorder="1" applyAlignment="1">
      <alignment horizontal="center" vertical="center"/>
      <protection/>
    </xf>
    <xf numFmtId="177" fontId="33" fillId="0" borderId="0" xfId="81" applyNumberFormat="1" applyFont="1" applyFill="1" applyBorder="1" applyAlignment="1">
      <alignment horizontal="center" vertical="center"/>
      <protection/>
    </xf>
    <xf numFmtId="177" fontId="21" fillId="0" borderId="0" xfId="81" applyNumberFormat="1" applyFont="1" applyFill="1" applyBorder="1" applyAlignment="1">
      <alignment horizontal="center" vertical="center"/>
      <protection/>
    </xf>
    <xf numFmtId="177" fontId="21" fillId="0" borderId="0" xfId="81" applyNumberFormat="1" applyFont="1" applyFill="1" applyAlignment="1">
      <alignment horizontal="center" vertical="center"/>
      <protection/>
    </xf>
    <xf numFmtId="177" fontId="32" fillId="0" borderId="0" xfId="81" applyNumberFormat="1" applyFont="1" applyFill="1" applyAlignment="1">
      <alignment horizontal="center" vertical="center"/>
      <protection/>
    </xf>
    <xf numFmtId="0" fontId="20" fillId="0" borderId="0" xfId="81" applyFont="1" applyBorder="1">
      <alignment/>
      <protection/>
    </xf>
    <xf numFmtId="0" fontId="38" fillId="0" borderId="0" xfId="81" applyFont="1" applyFill="1">
      <alignment/>
      <protection/>
    </xf>
    <xf numFmtId="49" fontId="33" fillId="0" borderId="0" xfId="81" applyNumberFormat="1" applyFont="1" applyFill="1" applyBorder="1" applyAlignment="1">
      <alignment horizontal="center"/>
      <protection/>
    </xf>
    <xf numFmtId="0" fontId="20" fillId="0" borderId="0" xfId="81" applyFont="1" applyAlignment="1">
      <alignment wrapText="1"/>
      <protection/>
    </xf>
    <xf numFmtId="0" fontId="22" fillId="0" borderId="0" xfId="81" applyFont="1" applyBorder="1" applyAlignment="1">
      <alignment horizontal="center"/>
      <protection/>
    </xf>
    <xf numFmtId="0" fontId="39" fillId="0" borderId="0" xfId="81" applyFont="1" applyFill="1">
      <alignment/>
      <protection/>
    </xf>
    <xf numFmtId="0" fontId="21" fillId="26" borderId="0" xfId="81" applyFont="1" applyFill="1" applyBorder="1" applyAlignment="1">
      <alignment horizontal="left"/>
      <protection/>
    </xf>
    <xf numFmtId="0" fontId="0" fillId="0" borderId="0" xfId="81" applyNumberFormat="1" applyBorder="1">
      <alignment/>
      <protection/>
    </xf>
    <xf numFmtId="0" fontId="21" fillId="0" borderId="45" xfId="81" applyFont="1" applyBorder="1" applyAlignment="1">
      <alignment horizontal="center"/>
      <protection/>
    </xf>
    <xf numFmtId="0" fontId="21" fillId="0" borderId="45" xfId="81" applyFont="1" applyBorder="1" applyAlignment="1">
      <alignment horizontal="left"/>
      <protection/>
    </xf>
    <xf numFmtId="0" fontId="21" fillId="0" borderId="45" xfId="81" applyNumberFormat="1" applyFont="1" applyBorder="1" applyAlignment="1">
      <alignment horizontal="left"/>
      <protection/>
    </xf>
    <xf numFmtId="0" fontId="21" fillId="0" borderId="45" xfId="81" applyNumberFormat="1" applyFont="1" applyFill="1" applyBorder="1" applyAlignment="1">
      <alignment horizontal="center"/>
      <protection/>
    </xf>
    <xf numFmtId="177" fontId="21" fillId="0" borderId="45" xfId="81" applyNumberFormat="1" applyFont="1" applyFill="1" applyBorder="1" applyAlignment="1">
      <alignment horizontal="center" wrapText="1"/>
      <protection/>
    </xf>
    <xf numFmtId="177" fontId="21" fillId="0" borderId="45" xfId="81" applyNumberFormat="1" applyFont="1" applyFill="1" applyBorder="1" applyAlignment="1">
      <alignment horizontal="center"/>
      <protection/>
    </xf>
    <xf numFmtId="0" fontId="20" fillId="0" borderId="45" xfId="81" applyFont="1" applyBorder="1">
      <alignment/>
      <protection/>
    </xf>
    <xf numFmtId="177" fontId="33" fillId="0" borderId="45" xfId="81" applyNumberFormat="1" applyFont="1" applyFill="1" applyBorder="1">
      <alignment/>
      <protection/>
    </xf>
    <xf numFmtId="0" fontId="20" fillId="0" borderId="45" xfId="81" applyFont="1" applyFill="1" applyBorder="1" applyAlignment="1">
      <alignment horizontal="center"/>
      <protection/>
    </xf>
    <xf numFmtId="0" fontId="20" fillId="0" borderId="45" xfId="81" applyFont="1" applyFill="1" applyBorder="1">
      <alignment/>
      <protection/>
    </xf>
    <xf numFmtId="0" fontId="20" fillId="0" borderId="45" xfId="81" applyFont="1" applyBorder="1" applyAlignment="1">
      <alignment horizontal="left"/>
      <protection/>
    </xf>
    <xf numFmtId="0" fontId="20" fillId="0" borderId="45" xfId="81" applyNumberFormat="1" applyFont="1" applyFill="1" applyBorder="1" applyAlignment="1">
      <alignment horizontal="center"/>
      <protection/>
    </xf>
    <xf numFmtId="0" fontId="32" fillId="0" borderId="45" xfId="81" applyFont="1" applyFill="1" applyBorder="1" applyAlignment="1">
      <alignment horizontal="center"/>
      <protection/>
    </xf>
    <xf numFmtId="177" fontId="32" fillId="0" borderId="45" xfId="81" applyNumberFormat="1" applyFont="1" applyFill="1" applyBorder="1" applyAlignment="1">
      <alignment horizontal="center"/>
      <protection/>
    </xf>
    <xf numFmtId="177" fontId="20" fillId="0" borderId="45" xfId="81" applyNumberFormat="1" applyFont="1" applyFill="1" applyBorder="1" applyAlignment="1">
      <alignment horizontal="center"/>
      <protection/>
    </xf>
    <xf numFmtId="0" fontId="43" fillId="0" borderId="45" xfId="81" applyNumberFormat="1" applyFont="1" applyFill="1" applyBorder="1" applyAlignment="1">
      <alignment horizontal="center"/>
      <protection/>
    </xf>
    <xf numFmtId="1" fontId="43" fillId="0" borderId="45" xfId="81" applyNumberFormat="1" applyFont="1" applyFill="1" applyBorder="1" applyAlignment="1">
      <alignment horizontal="center"/>
      <protection/>
    </xf>
    <xf numFmtId="0" fontId="21" fillId="0" borderId="45" xfId="81" applyFont="1" applyBorder="1">
      <alignment/>
      <protection/>
    </xf>
    <xf numFmtId="177" fontId="21" fillId="0" borderId="45" xfId="81" applyNumberFormat="1" applyFont="1" applyFill="1" applyBorder="1">
      <alignment/>
      <protection/>
    </xf>
    <xf numFmtId="0" fontId="21" fillId="25" borderId="45" xfId="81" applyFont="1" applyFill="1" applyBorder="1" applyAlignment="1">
      <alignment horizontal="center"/>
      <protection/>
    </xf>
    <xf numFmtId="0" fontId="21" fillId="25" borderId="45" xfId="81" applyFont="1" applyFill="1" applyBorder="1" applyAlignment="1">
      <alignment horizontal="left"/>
      <protection/>
    </xf>
    <xf numFmtId="0" fontId="43" fillId="25" borderId="45" xfId="81" applyNumberFormat="1" applyFont="1" applyFill="1" applyBorder="1" applyAlignment="1">
      <alignment horizontal="center"/>
      <protection/>
    </xf>
    <xf numFmtId="1" fontId="43" fillId="25" borderId="45" xfId="81" applyNumberFormat="1" applyFont="1" applyFill="1" applyBorder="1" applyAlignment="1">
      <alignment horizontal="center"/>
      <protection/>
    </xf>
    <xf numFmtId="0" fontId="21" fillId="25" borderId="45" xfId="81" applyFont="1" applyFill="1" applyBorder="1">
      <alignment/>
      <protection/>
    </xf>
    <xf numFmtId="177" fontId="21" fillId="25" borderId="45" xfId="81" applyNumberFormat="1" applyFont="1" applyFill="1" applyBorder="1">
      <alignment/>
      <protection/>
    </xf>
    <xf numFmtId="0" fontId="20" fillId="0" borderId="45" xfId="81" applyFont="1" applyBorder="1" applyAlignment="1">
      <alignment horizontal="right"/>
      <protection/>
    </xf>
    <xf numFmtId="0" fontId="35" fillId="0" borderId="45" xfId="81" applyNumberFormat="1" applyFont="1" applyFill="1" applyBorder="1" applyAlignment="1">
      <alignment horizontal="center"/>
      <protection/>
    </xf>
    <xf numFmtId="0" fontId="21" fillId="0" borderId="45" xfId="81" applyFont="1" applyFill="1" applyBorder="1" applyAlignment="1">
      <alignment horizontal="right"/>
      <protection/>
    </xf>
    <xf numFmtId="0" fontId="21" fillId="26" borderId="45" xfId="81" applyFont="1" applyFill="1" applyBorder="1" applyAlignment="1">
      <alignment horizontal="left"/>
      <protection/>
    </xf>
    <xf numFmtId="0" fontId="42" fillId="26" borderId="45" xfId="81" applyFont="1" applyFill="1" applyBorder="1" applyAlignment="1">
      <alignment horizontal="left"/>
      <protection/>
    </xf>
    <xf numFmtId="177" fontId="42" fillId="26" borderId="45" xfId="81" applyNumberFormat="1" applyFont="1" applyFill="1" applyBorder="1" applyAlignment="1">
      <alignment horizontal="right"/>
      <protection/>
    </xf>
    <xf numFmtId="0" fontId="21" fillId="0" borderId="45" xfId="81" applyFont="1" applyFill="1" applyBorder="1" applyAlignment="1">
      <alignment horizontal="center"/>
      <protection/>
    </xf>
    <xf numFmtId="0" fontId="20" fillId="0" borderId="45" xfId="81" applyFont="1" applyFill="1" applyBorder="1" applyAlignment="1">
      <alignment horizontal="right"/>
      <protection/>
    </xf>
    <xf numFmtId="0" fontId="32" fillId="0" borderId="45" xfId="81" applyNumberFormat="1" applyFont="1" applyFill="1" applyBorder="1" applyAlignment="1">
      <alignment horizontal="center"/>
      <protection/>
    </xf>
    <xf numFmtId="177" fontId="20" fillId="26" borderId="45" xfId="81" applyNumberFormat="1" applyFont="1" applyFill="1" applyBorder="1" applyAlignment="1">
      <alignment horizontal="left"/>
      <protection/>
    </xf>
    <xf numFmtId="177" fontId="20" fillId="26" borderId="45" xfId="81" applyNumberFormat="1" applyFont="1" applyFill="1" applyBorder="1" applyAlignment="1">
      <alignment horizontal="right"/>
      <protection/>
    </xf>
    <xf numFmtId="0" fontId="35" fillId="0" borderId="45" xfId="81" applyFont="1" applyFill="1" applyBorder="1" applyAlignment="1">
      <alignment horizontal="center"/>
      <protection/>
    </xf>
    <xf numFmtId="0" fontId="20" fillId="0" borderId="45" xfId="81" applyFont="1" applyFill="1" applyBorder="1" applyAlignment="1">
      <alignment horizontal="left" wrapText="1"/>
      <protection/>
    </xf>
    <xf numFmtId="0" fontId="20" fillId="0" borderId="45" xfId="81" applyFont="1" applyFill="1" applyBorder="1" applyAlignment="1">
      <alignment horizontal="left"/>
      <protection/>
    </xf>
    <xf numFmtId="0" fontId="46" fillId="0" borderId="45" xfId="81" applyFont="1" applyFill="1" applyBorder="1" applyAlignment="1">
      <alignment horizontal="left"/>
      <protection/>
    </xf>
    <xf numFmtId="0" fontId="32" fillId="0" borderId="45" xfId="81" applyFont="1" applyBorder="1" applyAlignment="1" quotePrefix="1">
      <alignment horizontal="left"/>
      <protection/>
    </xf>
    <xf numFmtId="49" fontId="20" fillId="0" borderId="45" xfId="81" applyNumberFormat="1" applyFont="1" applyFill="1" applyBorder="1" applyAlignment="1">
      <alignment horizontal="center"/>
      <protection/>
    </xf>
    <xf numFmtId="0" fontId="43" fillId="25" borderId="45" xfId="81" applyFont="1" applyFill="1" applyBorder="1" applyAlignment="1">
      <alignment horizontal="center"/>
      <protection/>
    </xf>
    <xf numFmtId="0" fontId="21" fillId="25" borderId="45" xfId="81" applyFont="1" applyFill="1" applyBorder="1" applyAlignment="1">
      <alignment horizontal="left" wrapText="1"/>
      <protection/>
    </xf>
    <xf numFmtId="0" fontId="20" fillId="25" borderId="45" xfId="81" applyNumberFormat="1" applyFont="1" applyFill="1" applyBorder="1" applyAlignment="1">
      <alignment horizontal="center"/>
      <protection/>
    </xf>
    <xf numFmtId="49" fontId="20" fillId="25" borderId="45" xfId="81" applyNumberFormat="1" applyFont="1" applyFill="1" applyBorder="1" applyAlignment="1">
      <alignment horizontal="center"/>
      <protection/>
    </xf>
    <xf numFmtId="0" fontId="32" fillId="25" borderId="45" xfId="81" applyFont="1" applyFill="1" applyBorder="1" applyAlignment="1">
      <alignment horizontal="center"/>
      <protection/>
    </xf>
    <xf numFmtId="177" fontId="32" fillId="25" borderId="45" xfId="81" applyNumberFormat="1" applyFont="1" applyFill="1" applyBorder="1" applyAlignment="1">
      <alignment horizontal="center"/>
      <protection/>
    </xf>
    <xf numFmtId="0" fontId="20" fillId="0" borderId="45" xfId="81" applyFont="1" applyBorder="1" applyAlignment="1">
      <alignment horizontal="center"/>
      <protection/>
    </xf>
    <xf numFmtId="0" fontId="46" fillId="0" borderId="45" xfId="81" applyFont="1" applyFill="1" applyBorder="1" applyAlignment="1">
      <alignment horizontal="right"/>
      <protection/>
    </xf>
    <xf numFmtId="0" fontId="20" fillId="0" borderId="45" xfId="81" applyNumberFormat="1" applyFont="1" applyFill="1" applyBorder="1" applyAlignment="1">
      <alignment horizontal="left"/>
      <protection/>
    </xf>
    <xf numFmtId="177" fontId="20" fillId="0" borderId="45" xfId="81" applyNumberFormat="1" applyFont="1" applyFill="1" applyBorder="1" applyAlignment="1">
      <alignment horizontal="left"/>
      <protection/>
    </xf>
    <xf numFmtId="177" fontId="42" fillId="0" borderId="45" xfId="81" applyNumberFormat="1" applyFont="1" applyFill="1" applyBorder="1">
      <alignment/>
      <protection/>
    </xf>
    <xf numFmtId="0" fontId="21" fillId="25" borderId="45" xfId="81" applyNumberFormat="1" applyFont="1" applyFill="1" applyBorder="1" applyAlignment="1">
      <alignment horizontal="center"/>
      <protection/>
    </xf>
    <xf numFmtId="177" fontId="43" fillId="25" borderId="45" xfId="81" applyNumberFormat="1" applyFont="1" applyFill="1" applyBorder="1" applyAlignment="1">
      <alignment horizontal="center"/>
      <protection/>
    </xf>
    <xf numFmtId="0" fontId="20" fillId="0" borderId="45" xfId="81" applyNumberFormat="1" applyFont="1" applyBorder="1" applyAlignment="1">
      <alignment horizontal="center"/>
      <protection/>
    </xf>
    <xf numFmtId="0" fontId="20" fillId="0" borderId="45" xfId="81" applyNumberFormat="1" applyFont="1" applyFill="1" applyBorder="1" applyAlignment="1">
      <alignment horizontal="center" wrapText="1"/>
      <protection/>
    </xf>
    <xf numFmtId="0" fontId="20" fillId="0" borderId="45" xfId="81" applyFont="1" applyFill="1" applyBorder="1" applyAlignment="1">
      <alignment horizontal="center" wrapText="1"/>
      <protection/>
    </xf>
    <xf numFmtId="0" fontId="20" fillId="0" borderId="45" xfId="81" applyFont="1" applyBorder="1" applyAlignment="1" quotePrefix="1">
      <alignment horizontal="left"/>
      <protection/>
    </xf>
    <xf numFmtId="0" fontId="31" fillId="0" borderId="45" xfId="81" applyFont="1" applyBorder="1" applyAlignment="1">
      <alignment horizontal="center"/>
      <protection/>
    </xf>
    <xf numFmtId="177" fontId="20" fillId="0" borderId="45" xfId="81" applyNumberFormat="1" applyFont="1" applyBorder="1" applyAlignment="1">
      <alignment horizontal="center"/>
      <protection/>
    </xf>
    <xf numFmtId="0" fontId="32" fillId="0" borderId="45" xfId="81" applyFont="1" applyBorder="1" applyAlignment="1">
      <alignment horizontal="center"/>
      <protection/>
    </xf>
    <xf numFmtId="0" fontId="35" fillId="0" borderId="45" xfId="81" applyFont="1" applyFill="1" applyBorder="1" applyAlignment="1">
      <alignment horizontal="left" wrapText="1"/>
      <protection/>
    </xf>
    <xf numFmtId="0" fontId="20" fillId="0" borderId="45" xfId="81" applyFont="1" applyFill="1" applyBorder="1" applyAlignment="1" quotePrefix="1">
      <alignment horizontal="left" wrapText="1"/>
      <protection/>
    </xf>
    <xf numFmtId="0" fontId="26" fillId="0" borderId="45" xfId="81" applyNumberFormat="1" applyFont="1" applyFill="1" applyBorder="1" applyAlignment="1">
      <alignment horizontal="center" wrapText="1"/>
      <protection/>
    </xf>
    <xf numFmtId="49" fontId="26" fillId="0" borderId="45" xfId="81" applyNumberFormat="1" applyFont="1" applyFill="1" applyBorder="1" applyAlignment="1">
      <alignment horizontal="center" wrapText="1"/>
      <protection/>
    </xf>
    <xf numFmtId="0" fontId="43" fillId="0" borderId="45" xfId="81" applyFont="1" applyFill="1" applyBorder="1" applyAlignment="1">
      <alignment horizontal="right" wrapText="1"/>
      <protection/>
    </xf>
    <xf numFmtId="177" fontId="60" fillId="0" borderId="45" xfId="81" applyNumberFormat="1" applyFont="1" applyFill="1" applyBorder="1" applyAlignment="1">
      <alignment horizontal="center"/>
      <protection/>
    </xf>
    <xf numFmtId="0" fontId="0" fillId="0" borderId="45" xfId="81" applyNumberFormat="1" applyFont="1" applyFill="1" applyBorder="1" applyAlignment="1">
      <alignment horizontal="center" wrapText="1"/>
      <protection/>
    </xf>
    <xf numFmtId="0" fontId="0" fillId="0" borderId="45" xfId="81" applyFont="1" applyFill="1" applyBorder="1" applyAlignment="1">
      <alignment horizontal="center" wrapText="1"/>
      <protection/>
    </xf>
    <xf numFmtId="49" fontId="20" fillId="0" borderId="45" xfId="81" applyNumberFormat="1" applyFont="1" applyFill="1" applyBorder="1" applyAlignment="1">
      <alignment horizontal="center" wrapText="1"/>
      <protection/>
    </xf>
    <xf numFmtId="0" fontId="21" fillId="0" borderId="45" xfId="81" applyFont="1" applyFill="1" applyBorder="1" applyAlignment="1">
      <alignment horizontal="right" wrapText="1"/>
      <protection/>
    </xf>
    <xf numFmtId="0" fontId="47" fillId="0" borderId="45" xfId="81" applyFont="1" applyBorder="1" applyAlignment="1">
      <alignment horizontal="center"/>
      <protection/>
    </xf>
    <xf numFmtId="0" fontId="47" fillId="0" borderId="45" xfId="81" applyFont="1" applyFill="1" applyBorder="1" applyAlignment="1">
      <alignment horizontal="center"/>
      <protection/>
    </xf>
    <xf numFmtId="0" fontId="33" fillId="0" borderId="45" xfId="81" applyNumberFormat="1" applyFont="1" applyFill="1" applyBorder="1" applyAlignment="1">
      <alignment horizontal="center"/>
      <protection/>
    </xf>
    <xf numFmtId="0" fontId="21" fillId="0" borderId="45" xfId="81" applyFont="1" applyFill="1" applyBorder="1" applyAlignment="1">
      <alignment horizontal="left"/>
      <protection/>
    </xf>
    <xf numFmtId="0" fontId="20" fillId="0" borderId="45" xfId="81" applyFont="1" applyFill="1" applyBorder="1" applyAlignment="1">
      <alignment wrapText="1"/>
      <protection/>
    </xf>
    <xf numFmtId="0" fontId="20" fillId="0" borderId="45" xfId="81" applyFont="1" applyFill="1" applyBorder="1" applyAlignment="1" quotePrefix="1">
      <alignment wrapText="1"/>
      <protection/>
    </xf>
    <xf numFmtId="49" fontId="0" fillId="0" borderId="45" xfId="81" applyNumberFormat="1" applyFont="1" applyFill="1" applyBorder="1" applyAlignment="1">
      <alignment horizontal="center" wrapText="1"/>
      <protection/>
    </xf>
    <xf numFmtId="1" fontId="21" fillId="25" borderId="45" xfId="81" applyNumberFormat="1" applyFont="1" applyFill="1" applyBorder="1" applyAlignment="1">
      <alignment horizontal="center"/>
      <protection/>
    </xf>
    <xf numFmtId="0" fontId="33" fillId="25" borderId="45" xfId="81" applyFont="1" applyFill="1" applyBorder="1" applyAlignment="1">
      <alignment horizontal="center"/>
      <protection/>
    </xf>
    <xf numFmtId="1" fontId="21" fillId="0" borderId="45" xfId="81" applyNumberFormat="1" applyFont="1" applyFill="1" applyBorder="1" applyAlignment="1">
      <alignment horizontal="right"/>
      <protection/>
    </xf>
    <xf numFmtId="1" fontId="21" fillId="0" borderId="45" xfId="81" applyNumberFormat="1" applyFont="1" applyFill="1" applyBorder="1" applyAlignment="1">
      <alignment horizontal="center"/>
      <protection/>
    </xf>
    <xf numFmtId="0" fontId="33" fillId="0" borderId="45" xfId="81" applyFont="1" applyFill="1" applyBorder="1" applyAlignment="1">
      <alignment horizontal="center"/>
      <protection/>
    </xf>
    <xf numFmtId="1" fontId="20" fillId="0" borderId="45" xfId="81" applyNumberFormat="1" applyFont="1" applyFill="1" applyBorder="1" applyAlignment="1">
      <alignment horizontal="right"/>
      <protection/>
    </xf>
    <xf numFmtId="1" fontId="32" fillId="0" borderId="45" xfId="81" applyNumberFormat="1" applyFont="1" applyFill="1" applyBorder="1" applyAlignment="1">
      <alignment horizontal="center"/>
      <protection/>
    </xf>
    <xf numFmtId="0" fontId="20" fillId="0" borderId="45" xfId="81" applyNumberFormat="1" applyFont="1" applyFill="1" applyBorder="1" applyAlignment="1" quotePrefix="1">
      <alignment horizontal="center"/>
      <protection/>
    </xf>
    <xf numFmtId="0" fontId="20" fillId="25" borderId="45" xfId="81" applyFont="1" applyFill="1" applyBorder="1" applyAlignment="1">
      <alignment horizontal="center"/>
      <protection/>
    </xf>
    <xf numFmtId="0" fontId="20" fillId="25" borderId="45" xfId="81" applyFont="1" applyFill="1" applyBorder="1" applyAlignment="1">
      <alignment horizontal="left"/>
      <protection/>
    </xf>
    <xf numFmtId="0" fontId="35" fillId="0" borderId="45" xfId="81" applyFont="1" applyFill="1" applyBorder="1" applyAlignment="1">
      <alignment horizontal="left"/>
      <protection/>
    </xf>
    <xf numFmtId="0" fontId="43" fillId="0" borderId="45" xfId="81" applyFont="1" applyFill="1" applyBorder="1" applyAlignment="1">
      <alignment horizontal="left"/>
      <protection/>
    </xf>
    <xf numFmtId="0" fontId="21" fillId="0" borderId="45" xfId="81" applyFont="1" applyFill="1" applyBorder="1" applyAlignment="1">
      <alignment horizontal="left" wrapText="1"/>
      <protection/>
    </xf>
    <xf numFmtId="0" fontId="21" fillId="25" borderId="45" xfId="81" applyFont="1" applyFill="1" applyBorder="1" applyAlignment="1">
      <alignment/>
      <protection/>
    </xf>
    <xf numFmtId="1" fontId="20" fillId="25" borderId="45" xfId="81" applyNumberFormat="1" applyFont="1" applyFill="1" applyBorder="1" applyAlignment="1">
      <alignment horizontal="center"/>
      <protection/>
    </xf>
    <xf numFmtId="0" fontId="46" fillId="0" borderId="45" xfId="81" applyFont="1" applyFill="1" applyBorder="1">
      <alignment/>
      <protection/>
    </xf>
    <xf numFmtId="0" fontId="20" fillId="0" borderId="45" xfId="81" applyFont="1" applyBorder="1" applyAlignment="1" quotePrefix="1">
      <alignment horizontal="left" wrapText="1"/>
      <protection/>
    </xf>
    <xf numFmtId="0" fontId="20" fillId="0" borderId="45" xfId="81" applyFont="1" applyBorder="1" applyAlignment="1">
      <alignment horizontal="left" wrapText="1"/>
      <protection/>
    </xf>
    <xf numFmtId="49" fontId="20" fillId="0" borderId="45" xfId="81" applyNumberFormat="1" applyFont="1" applyBorder="1" applyAlignment="1">
      <alignment horizontal="center"/>
      <protection/>
    </xf>
    <xf numFmtId="177" fontId="33" fillId="25" borderId="45" xfId="81" applyNumberFormat="1" applyFont="1" applyFill="1" applyBorder="1" applyAlignment="1">
      <alignment horizontal="center"/>
      <protection/>
    </xf>
    <xf numFmtId="1" fontId="20" fillId="0" borderId="45" xfId="81" applyNumberFormat="1" applyFont="1" applyFill="1" applyBorder="1" applyAlignment="1">
      <alignment horizontal="left"/>
      <protection/>
    </xf>
    <xf numFmtId="1" fontId="35" fillId="0" borderId="45" xfId="81" applyNumberFormat="1" applyFont="1" applyFill="1" applyBorder="1" applyAlignment="1">
      <alignment horizontal="center"/>
      <protection/>
    </xf>
    <xf numFmtId="177" fontId="33" fillId="0" borderId="45" xfId="81" applyNumberFormat="1" applyFont="1" applyFill="1" applyBorder="1" applyAlignment="1">
      <alignment horizontal="center" vertical="center"/>
      <protection/>
    </xf>
    <xf numFmtId="177" fontId="32" fillId="0" borderId="45" xfId="81" applyNumberFormat="1" applyFont="1" applyFill="1" applyBorder="1" applyAlignment="1">
      <alignment horizontal="center" vertical="center"/>
      <protection/>
    </xf>
    <xf numFmtId="177" fontId="35" fillId="0" borderId="45" xfId="81" applyNumberFormat="1" applyFont="1" applyFill="1" applyBorder="1" applyAlignment="1">
      <alignment horizontal="center"/>
      <protection/>
    </xf>
    <xf numFmtId="177" fontId="33" fillId="0" borderId="45" xfId="81" applyNumberFormat="1" applyFont="1" applyFill="1" applyBorder="1" applyAlignment="1">
      <alignment horizontal="center"/>
      <protection/>
    </xf>
    <xf numFmtId="49" fontId="21" fillId="25" borderId="45" xfId="81" applyNumberFormat="1" applyFont="1" applyFill="1" applyBorder="1" applyAlignment="1">
      <alignment horizontal="center"/>
      <protection/>
    </xf>
    <xf numFmtId="0" fontId="32" fillId="25" borderId="45" xfId="81" applyFont="1" applyFill="1" applyBorder="1" applyAlignment="1">
      <alignment horizontal="left"/>
      <protection/>
    </xf>
    <xf numFmtId="0" fontId="20" fillId="0" borderId="45" xfId="81" applyFont="1" applyFill="1" applyBorder="1" applyAlignment="1">
      <alignment horizontal="left" vertical="top" wrapText="1"/>
      <protection/>
    </xf>
    <xf numFmtId="49" fontId="21" fillId="0" borderId="45" xfId="81" applyNumberFormat="1" applyFont="1" applyFill="1" applyBorder="1" applyAlignment="1">
      <alignment horizontal="center"/>
      <protection/>
    </xf>
    <xf numFmtId="0" fontId="20" fillId="0" borderId="45" xfId="81" applyFont="1" applyFill="1" applyBorder="1" applyAlignment="1">
      <alignment horizontal="right" wrapText="1"/>
      <protection/>
    </xf>
    <xf numFmtId="0" fontId="20" fillId="26" borderId="45" xfId="0" applyFont="1" applyFill="1" applyBorder="1" applyAlignment="1">
      <alignment/>
    </xf>
    <xf numFmtId="0" fontId="33" fillId="0" borderId="0" xfId="94" applyFont="1" applyFill="1" applyBorder="1" applyAlignment="1">
      <alignment horizontal="center"/>
      <protection/>
    </xf>
    <xf numFmtId="0" fontId="21" fillId="26" borderId="45" xfId="0" applyFont="1" applyFill="1" applyBorder="1" applyAlignment="1">
      <alignment horizontal="left"/>
    </xf>
    <xf numFmtId="0" fontId="33" fillId="0" borderId="0" xfId="94" applyFont="1" applyBorder="1" applyAlignment="1">
      <alignment horizontal="center"/>
      <protection/>
    </xf>
    <xf numFmtId="0" fontId="20" fillId="26" borderId="45" xfId="0" applyFont="1" applyFill="1" applyBorder="1" applyAlignment="1">
      <alignment horizontal="left"/>
    </xf>
    <xf numFmtId="0" fontId="20" fillId="26" borderId="45" xfId="0" applyFont="1" applyFill="1" applyBorder="1" applyAlignment="1">
      <alignment horizontal="left" wrapText="1"/>
    </xf>
    <xf numFmtId="0" fontId="21" fillId="26" borderId="45" xfId="94" applyFont="1" applyFill="1" applyBorder="1" applyAlignment="1">
      <alignment horizontal="center"/>
      <protection/>
    </xf>
    <xf numFmtId="0" fontId="32" fillId="0" borderId="0" xfId="94" applyFont="1" applyBorder="1" applyAlignment="1">
      <alignment horizontal="left"/>
      <protection/>
    </xf>
    <xf numFmtId="49" fontId="20" fillId="0" borderId="0" xfId="94" applyNumberFormat="1" applyFont="1" applyBorder="1" applyAlignment="1">
      <alignment horizontal="center"/>
      <protection/>
    </xf>
    <xf numFmtId="0" fontId="20" fillId="0" borderId="0" xfId="94" applyFont="1" applyBorder="1" applyAlignment="1">
      <alignment horizontal="left"/>
      <protection/>
    </xf>
    <xf numFmtId="0" fontId="21" fillId="26" borderId="45" xfId="0" applyFont="1" applyFill="1" applyBorder="1" applyAlignment="1">
      <alignment/>
    </xf>
    <xf numFmtId="0" fontId="35" fillId="26" borderId="45" xfId="0" applyFont="1" applyFill="1" applyBorder="1" applyAlignment="1">
      <alignment horizontal="left"/>
    </xf>
    <xf numFmtId="0" fontId="21" fillId="0" borderId="0" xfId="94" applyFont="1" applyBorder="1" applyAlignment="1">
      <alignment horizontal="left"/>
      <protection/>
    </xf>
    <xf numFmtId="0" fontId="49" fillId="0" borderId="0" xfId="0" applyFont="1" applyBorder="1" applyAlignment="1">
      <alignment horizontal="left"/>
    </xf>
    <xf numFmtId="1" fontId="49" fillId="0" borderId="0" xfId="94" applyNumberFormat="1" applyFont="1" applyBorder="1" applyAlignment="1">
      <alignment horizontal="center"/>
      <protection/>
    </xf>
    <xf numFmtId="0" fontId="20" fillId="0" borderId="0" xfId="0" applyFont="1" applyFill="1" applyBorder="1" applyAlignment="1">
      <alignment horizontal="left"/>
    </xf>
    <xf numFmtId="0" fontId="20" fillId="0" borderId="0" xfId="94" applyFont="1" applyFill="1" applyBorder="1" applyAlignment="1">
      <alignment horizontal="center"/>
      <protection/>
    </xf>
    <xf numFmtId="0" fontId="35" fillId="26" borderId="45" xfId="0" applyFont="1" applyFill="1" applyBorder="1" applyAlignment="1">
      <alignment horizontal="left" wrapText="1"/>
    </xf>
    <xf numFmtId="0" fontId="20" fillId="26" borderId="45" xfId="94" applyFont="1" applyFill="1" applyBorder="1" applyAlignment="1">
      <alignment horizontal="center"/>
      <protection/>
    </xf>
    <xf numFmtId="177" fontId="20" fillId="27" borderId="0" xfId="0" applyNumberFormat="1" applyFont="1" applyFill="1" applyAlignment="1">
      <alignment horizontal="center"/>
    </xf>
    <xf numFmtId="0" fontId="20" fillId="27" borderId="0" xfId="94" applyFont="1" applyFill="1" applyAlignment="1">
      <alignment horizontal="center"/>
      <protection/>
    </xf>
    <xf numFmtId="0" fontId="21" fillId="0" borderId="0" xfId="94" applyFont="1" applyBorder="1">
      <alignment/>
      <protection/>
    </xf>
    <xf numFmtId="0" fontId="46" fillId="0" borderId="0" xfId="0" applyFont="1" applyFill="1" applyBorder="1" applyAlignment="1">
      <alignment horizontal="right"/>
    </xf>
    <xf numFmtId="177" fontId="20" fillId="0" borderId="0" xfId="94" applyNumberFormat="1" applyFont="1" applyFill="1" applyBorder="1" applyAlignment="1">
      <alignment horizontal="left"/>
      <protection/>
    </xf>
    <xf numFmtId="1" fontId="43" fillId="0" borderId="0" xfId="94" applyNumberFormat="1" applyFont="1" applyFill="1" applyBorder="1" applyAlignment="1">
      <alignment horizontal="center"/>
      <protection/>
    </xf>
    <xf numFmtId="0" fontId="20" fillId="0" borderId="0" xfId="94" applyFont="1" applyBorder="1">
      <alignment/>
      <protection/>
    </xf>
    <xf numFmtId="0" fontId="20" fillId="26" borderId="45" xfId="0" applyFont="1" applyFill="1" applyBorder="1" applyAlignment="1">
      <alignment horizontal="right"/>
    </xf>
    <xf numFmtId="177" fontId="35" fillId="26" borderId="45" xfId="94" applyNumberFormat="1" applyFont="1" applyFill="1" applyBorder="1" applyAlignment="1">
      <alignment horizontal="center"/>
      <protection/>
    </xf>
    <xf numFmtId="177" fontId="20" fillId="26" borderId="45" xfId="94" applyNumberFormat="1" applyFont="1" applyFill="1" applyBorder="1" applyAlignment="1">
      <alignment horizontal="center"/>
      <protection/>
    </xf>
    <xf numFmtId="0" fontId="21" fillId="26" borderId="45" xfId="0" applyFont="1" applyFill="1" applyBorder="1" applyAlignment="1">
      <alignment horizontal="right"/>
    </xf>
    <xf numFmtId="177" fontId="21" fillId="26" borderId="45" xfId="94" applyNumberFormat="1" applyFont="1" applyFill="1" applyBorder="1" applyAlignment="1">
      <alignment horizontal="center"/>
      <protection/>
    </xf>
    <xf numFmtId="177" fontId="33" fillId="26" borderId="45" xfId="94" applyNumberFormat="1" applyFont="1" applyFill="1" applyBorder="1" applyAlignment="1">
      <alignment horizontal="center"/>
      <protection/>
    </xf>
    <xf numFmtId="0" fontId="32" fillId="27" borderId="17" xfId="94" applyFont="1" applyFill="1" applyBorder="1" applyAlignment="1">
      <alignment horizontal="center"/>
      <protection/>
    </xf>
    <xf numFmtId="2" fontId="32" fillId="27" borderId="0" xfId="0" applyNumberFormat="1" applyFont="1" applyFill="1" applyAlignment="1">
      <alignment horizontal="center"/>
    </xf>
    <xf numFmtId="1" fontId="20" fillId="27" borderId="0" xfId="0" applyNumberFormat="1" applyFont="1" applyFill="1" applyAlignment="1">
      <alignment horizontal="center"/>
    </xf>
    <xf numFmtId="177" fontId="35" fillId="27" borderId="17" xfId="0" applyNumberFormat="1" applyFont="1" applyFill="1" applyBorder="1" applyAlignment="1">
      <alignment horizontal="center"/>
    </xf>
    <xf numFmtId="177" fontId="35" fillId="27" borderId="0" xfId="0" applyNumberFormat="1" applyFont="1" applyFill="1" applyAlignment="1">
      <alignment horizontal="center"/>
    </xf>
    <xf numFmtId="2" fontId="32" fillId="27" borderId="17" xfId="0" applyNumberFormat="1" applyFont="1" applyFill="1" applyBorder="1" applyAlignment="1">
      <alignment horizontal="center"/>
    </xf>
    <xf numFmtId="0" fontId="20" fillId="26" borderId="0" xfId="94" applyFont="1" applyFill="1" applyBorder="1" applyAlignment="1">
      <alignment horizontal="left"/>
      <protection/>
    </xf>
    <xf numFmtId="0" fontId="20" fillId="26" borderId="45" xfId="94" applyFont="1" applyFill="1" applyBorder="1" applyAlignment="1">
      <alignment horizontal="left"/>
      <protection/>
    </xf>
    <xf numFmtId="0" fontId="20" fillId="26" borderId="45" xfId="94" applyFont="1" applyFill="1" applyBorder="1">
      <alignment/>
      <protection/>
    </xf>
    <xf numFmtId="0" fontId="21" fillId="0" borderId="47" xfId="0" applyFont="1" applyBorder="1" applyAlignment="1">
      <alignment horizontal="left"/>
    </xf>
    <xf numFmtId="0" fontId="20" fillId="0" borderId="45" xfId="0" applyFont="1" applyFill="1" applyBorder="1" applyAlignment="1">
      <alignment/>
    </xf>
    <xf numFmtId="0" fontId="20" fillId="0" borderId="45" xfId="0" applyFont="1" applyFill="1" applyBorder="1" applyAlignment="1">
      <alignment horizontal="left" wrapText="1"/>
    </xf>
    <xf numFmtId="0" fontId="20" fillId="0" borderId="45" xfId="0" applyFont="1" applyFill="1" applyBorder="1" applyAlignment="1">
      <alignment horizontal="left"/>
    </xf>
    <xf numFmtId="0" fontId="46" fillId="0" borderId="45" xfId="0" applyFont="1" applyFill="1" applyBorder="1" applyAlignment="1">
      <alignment horizontal="left"/>
    </xf>
    <xf numFmtId="0" fontId="46" fillId="0" borderId="45" xfId="0" applyFont="1" applyFill="1" applyBorder="1" applyAlignment="1">
      <alignment horizontal="left" wrapText="1"/>
    </xf>
    <xf numFmtId="0" fontId="20" fillId="26" borderId="48" xfId="0" applyFont="1" applyFill="1" applyBorder="1" applyAlignment="1">
      <alignment horizontal="right"/>
    </xf>
    <xf numFmtId="177" fontId="32" fillId="26" borderId="48" xfId="94" applyNumberFormat="1" applyFont="1" applyFill="1" applyBorder="1" applyAlignment="1">
      <alignment horizontal="center"/>
      <protection/>
    </xf>
    <xf numFmtId="0" fontId="20" fillId="26" borderId="48" xfId="94" applyFont="1" applyFill="1" applyBorder="1">
      <alignment/>
      <protection/>
    </xf>
    <xf numFmtId="0" fontId="35" fillId="0" borderId="45" xfId="94" applyFont="1" applyFill="1" applyBorder="1" applyAlignment="1">
      <alignment horizontal="center"/>
      <protection/>
    </xf>
    <xf numFmtId="0" fontId="32" fillId="0" borderId="45" xfId="94" applyFont="1" applyFill="1" applyBorder="1" applyAlignment="1">
      <alignment horizontal="center"/>
      <protection/>
    </xf>
    <xf numFmtId="177" fontId="32" fillId="24" borderId="45" xfId="94" applyNumberFormat="1" applyFont="1" applyFill="1" applyBorder="1" applyAlignment="1">
      <alignment horizontal="center"/>
      <protection/>
    </xf>
    <xf numFmtId="177" fontId="32" fillId="0" borderId="45" xfId="94" applyNumberFormat="1" applyFont="1" applyFill="1" applyBorder="1" applyAlignment="1">
      <alignment horizontal="center"/>
      <protection/>
    </xf>
    <xf numFmtId="0" fontId="20" fillId="26" borderId="48" xfId="94" applyFont="1" applyFill="1" applyBorder="1" applyAlignment="1">
      <alignment horizontal="left"/>
      <protection/>
    </xf>
    <xf numFmtId="0" fontId="35" fillId="0" borderId="45" xfId="0" applyFont="1" applyFill="1" applyBorder="1" applyAlignment="1">
      <alignment horizontal="left" wrapText="1"/>
    </xf>
    <xf numFmtId="0" fontId="32" fillId="0" borderId="49" xfId="94" applyFont="1" applyFill="1" applyBorder="1" applyAlignment="1">
      <alignment horizontal="center"/>
      <protection/>
    </xf>
    <xf numFmtId="0" fontId="20" fillId="27" borderId="45" xfId="0" applyFont="1" applyFill="1" applyBorder="1" applyAlignment="1">
      <alignment horizontal="left" wrapText="1"/>
    </xf>
    <xf numFmtId="49" fontId="20" fillId="27" borderId="45" xfId="94" applyNumberFormat="1" applyFont="1" applyFill="1" applyBorder="1" applyAlignment="1">
      <alignment horizontal="center" wrapText="1"/>
      <protection/>
    </xf>
    <xf numFmtId="0" fontId="20" fillId="0" borderId="45" xfId="0" applyFont="1" applyFill="1" applyBorder="1" applyAlignment="1">
      <alignment wrapText="1"/>
    </xf>
    <xf numFmtId="0" fontId="20" fillId="0" borderId="45" xfId="0" applyFont="1" applyBorder="1" applyAlignment="1">
      <alignment horizontal="left"/>
    </xf>
    <xf numFmtId="0" fontId="35" fillId="0" borderId="45" xfId="0" applyFont="1" applyBorder="1" applyAlignment="1">
      <alignment horizontal="left"/>
    </xf>
    <xf numFmtId="0" fontId="20" fillId="0" borderId="45" xfId="0" applyFont="1" applyBorder="1" applyAlignment="1">
      <alignment horizontal="left" wrapText="1"/>
    </xf>
    <xf numFmtId="0" fontId="20" fillId="0" borderId="45" xfId="0" applyFont="1" applyBorder="1" applyAlignment="1">
      <alignment horizontal="center"/>
    </xf>
    <xf numFmtId="0" fontId="20" fillId="0" borderId="49" xfId="0" applyFont="1" applyFill="1" applyBorder="1" applyAlignment="1">
      <alignment horizontal="left"/>
    </xf>
    <xf numFmtId="0" fontId="20" fillId="0" borderId="50" xfId="94" applyFont="1" applyFill="1" applyBorder="1" applyAlignment="1">
      <alignment horizontal="center"/>
      <protection/>
    </xf>
    <xf numFmtId="177" fontId="32" fillId="27" borderId="0" xfId="94" applyNumberFormat="1" applyFont="1" applyFill="1" applyBorder="1" applyAlignment="1">
      <alignment horizontal="center"/>
      <protection/>
    </xf>
    <xf numFmtId="0" fontId="20" fillId="0" borderId="45" xfId="0" applyFont="1" applyFill="1" applyBorder="1" applyAlignment="1">
      <alignment horizontal="right"/>
    </xf>
    <xf numFmtId="0" fontId="21" fillId="26" borderId="48" xfId="0" applyFont="1" applyFill="1" applyBorder="1" applyAlignment="1">
      <alignment horizontal="right"/>
    </xf>
    <xf numFmtId="0" fontId="20" fillId="27" borderId="49" xfId="0" applyFont="1" applyFill="1" applyBorder="1" applyAlignment="1">
      <alignment/>
    </xf>
    <xf numFmtId="0" fontId="20" fillId="0" borderId="51" xfId="81" applyFont="1" applyFill="1" applyBorder="1" applyAlignment="1">
      <alignment horizontal="center" wrapText="1"/>
      <protection/>
    </xf>
    <xf numFmtId="177" fontId="20" fillId="0" borderId="45" xfId="94" applyNumberFormat="1" applyFont="1" applyFill="1" applyBorder="1" applyAlignment="1">
      <alignment horizontal="center"/>
      <protection/>
    </xf>
    <xf numFmtId="0" fontId="20" fillId="0" borderId="45" xfId="94" applyNumberFormat="1" applyFont="1" applyFill="1" applyBorder="1" applyAlignment="1">
      <alignment horizontal="center"/>
      <protection/>
    </xf>
    <xf numFmtId="177" fontId="20" fillId="0" borderId="45" xfId="94" applyNumberFormat="1" applyFont="1" applyFill="1" applyBorder="1" applyAlignment="1">
      <alignment horizontal="center" vertical="center"/>
      <protection/>
    </xf>
    <xf numFmtId="177" fontId="32" fillId="0" borderId="45" xfId="81" applyNumberFormat="1" applyFont="1" applyFill="1" applyBorder="1" applyAlignment="1">
      <alignment horizontal="center"/>
      <protection/>
    </xf>
    <xf numFmtId="177" fontId="21" fillId="26" borderId="45" xfId="94" applyNumberFormat="1" applyFont="1" applyFill="1" applyBorder="1" applyAlignment="1">
      <alignment horizontal="center" vertical="center"/>
      <protection/>
    </xf>
    <xf numFmtId="177" fontId="21" fillId="26" borderId="48" xfId="94" applyNumberFormat="1" applyFont="1" applyFill="1" applyBorder="1" applyAlignment="1">
      <alignment horizontal="center"/>
      <protection/>
    </xf>
    <xf numFmtId="0" fontId="21" fillId="0" borderId="45" xfId="94" applyFont="1" applyFill="1" applyBorder="1" applyAlignment="1">
      <alignment horizontal="center"/>
      <protection/>
    </xf>
    <xf numFmtId="0" fontId="18" fillId="0" borderId="0" xfId="81" applyFont="1" applyBorder="1" applyAlignment="1">
      <alignment horizontal="center"/>
      <protection/>
    </xf>
    <xf numFmtId="0" fontId="0" fillId="0" borderId="0" xfId="0" applyFont="1" applyAlignment="1">
      <alignment/>
    </xf>
    <xf numFmtId="0" fontId="21" fillId="28" borderId="45" xfId="81" applyFont="1" applyFill="1" applyBorder="1" applyAlignment="1">
      <alignment horizontal="right"/>
      <protection/>
    </xf>
    <xf numFmtId="0" fontId="32" fillId="28" borderId="45" xfId="81" applyFont="1" applyFill="1" applyBorder="1" applyAlignment="1">
      <alignment horizontal="center"/>
      <protection/>
    </xf>
    <xf numFmtId="177" fontId="32" fillId="28" borderId="45" xfId="81" applyNumberFormat="1" applyFont="1" applyFill="1" applyBorder="1" applyAlignment="1">
      <alignment horizontal="center"/>
      <protection/>
    </xf>
    <xf numFmtId="49" fontId="21" fillId="28" borderId="45" xfId="81" applyNumberFormat="1" applyFont="1" applyFill="1" applyBorder="1" applyAlignment="1">
      <alignment horizontal="center"/>
      <protection/>
    </xf>
    <xf numFmtId="1" fontId="21" fillId="28" borderId="45" xfId="81" applyNumberFormat="1" applyFont="1" applyFill="1" applyBorder="1" applyAlignment="1">
      <alignment horizontal="center"/>
      <protection/>
    </xf>
    <xf numFmtId="0" fontId="0" fillId="0" borderId="0" xfId="0" applyFont="1" applyBorder="1" applyAlignment="1">
      <alignment/>
    </xf>
    <xf numFmtId="0" fontId="22" fillId="0" borderId="0" xfId="0" applyFont="1" applyBorder="1" applyAlignment="1">
      <alignment/>
    </xf>
    <xf numFmtId="0" fontId="22" fillId="0" borderId="0" xfId="0" applyFont="1" applyFill="1" applyBorder="1" applyAlignment="1">
      <alignment/>
    </xf>
    <xf numFmtId="1" fontId="20" fillId="29" borderId="45" xfId="81" applyNumberFormat="1" applyFont="1" applyFill="1" applyBorder="1" applyAlignment="1">
      <alignment horizontal="right"/>
      <protection/>
    </xf>
    <xf numFmtId="0" fontId="35" fillId="29" borderId="45" xfId="81" applyNumberFormat="1" applyFont="1" applyFill="1" applyBorder="1" applyAlignment="1">
      <alignment horizontal="center"/>
      <protection/>
    </xf>
    <xf numFmtId="0" fontId="0" fillId="0" borderId="0" xfId="0" applyFont="1" applyAlignment="1">
      <alignment horizontal="center"/>
    </xf>
    <xf numFmtId="1" fontId="42" fillId="26" borderId="45" xfId="81" applyNumberFormat="1" applyFont="1" applyFill="1" applyBorder="1" applyAlignment="1">
      <alignment horizontal="center"/>
      <protection/>
    </xf>
    <xf numFmtId="1" fontId="20" fillId="29" borderId="45" xfId="81" applyNumberFormat="1" applyFont="1" applyFill="1" applyBorder="1" applyAlignment="1">
      <alignment horizontal="center"/>
      <protection/>
    </xf>
    <xf numFmtId="1" fontId="20" fillId="29" borderId="45" xfId="81" applyNumberFormat="1" applyFont="1" applyFill="1" applyBorder="1" applyAlignment="1">
      <alignment horizontal="left"/>
      <protection/>
    </xf>
    <xf numFmtId="0" fontId="21" fillId="29" borderId="45" xfId="81" applyNumberFormat="1" applyFont="1" applyFill="1" applyBorder="1" applyAlignment="1">
      <alignment horizontal="center"/>
      <protection/>
    </xf>
    <xf numFmtId="178" fontId="61" fillId="0" borderId="0" xfId="0" applyNumberFormat="1" applyFont="1" applyBorder="1" applyAlignment="1">
      <alignment horizontal="center"/>
    </xf>
    <xf numFmtId="49" fontId="61" fillId="0" borderId="0" xfId="0" applyNumberFormat="1" applyFont="1" applyFill="1" applyAlignment="1">
      <alignment horizontal="center"/>
    </xf>
    <xf numFmtId="1" fontId="62" fillId="0" borderId="0" xfId="0" applyNumberFormat="1" applyFont="1" applyAlignment="1">
      <alignment horizontal="center"/>
    </xf>
    <xf numFmtId="49" fontId="61" fillId="0" borderId="0" xfId="0" applyNumberFormat="1" applyFont="1" applyAlignment="1">
      <alignment horizontal="center"/>
    </xf>
    <xf numFmtId="1" fontId="63" fillId="0" borderId="0" xfId="0" applyNumberFormat="1" applyFont="1" applyBorder="1" applyAlignment="1">
      <alignment horizontal="center"/>
    </xf>
    <xf numFmtId="1" fontId="61" fillId="0" borderId="0" xfId="0" applyNumberFormat="1" applyFont="1" applyAlignment="1">
      <alignment horizontal="center"/>
    </xf>
    <xf numFmtId="1" fontId="61" fillId="0" borderId="14" xfId="83" applyNumberFormat="1" applyFont="1" applyBorder="1" applyAlignment="1">
      <alignment horizontal="center"/>
      <protection/>
    </xf>
    <xf numFmtId="1" fontId="61" fillId="0" borderId="14" xfId="0" applyNumberFormat="1" applyFont="1" applyBorder="1" applyAlignment="1">
      <alignment horizontal="center"/>
    </xf>
    <xf numFmtId="1" fontId="61" fillId="0" borderId="14" xfId="81" applyNumberFormat="1" applyFont="1" applyBorder="1" applyAlignment="1">
      <alignment horizontal="center"/>
      <protection/>
    </xf>
    <xf numFmtId="0" fontId="21" fillId="0" borderId="0" xfId="81" applyFont="1" applyFill="1" applyBorder="1" applyAlignment="1">
      <alignment horizontal="left"/>
      <protection/>
    </xf>
    <xf numFmtId="0" fontId="21" fillId="26" borderId="45" xfId="81" applyFont="1" applyFill="1" applyBorder="1" applyAlignment="1">
      <alignment horizontal="center"/>
      <protection/>
    </xf>
    <xf numFmtId="0" fontId="21" fillId="26" borderId="45" xfId="81" applyFont="1" applyFill="1" applyBorder="1" applyAlignment="1">
      <alignment horizontal="right"/>
      <protection/>
    </xf>
    <xf numFmtId="177" fontId="60" fillId="0" borderId="45" xfId="94" applyNumberFormat="1" applyFont="1" applyFill="1" applyBorder="1" applyAlignment="1">
      <alignment horizontal="center"/>
      <protection/>
    </xf>
    <xf numFmtId="177" fontId="60" fillId="26" borderId="45" xfId="94" applyNumberFormat="1" applyFont="1" applyFill="1" applyBorder="1" applyAlignment="1">
      <alignment horizontal="center"/>
      <protection/>
    </xf>
    <xf numFmtId="177" fontId="32" fillId="0" borderId="45" xfId="94" applyNumberFormat="1" applyFont="1" applyFill="1" applyBorder="1" applyAlignment="1">
      <alignment horizontal="center"/>
      <protection/>
    </xf>
    <xf numFmtId="0" fontId="20" fillId="0" borderId="45" xfId="0" applyFont="1" applyFill="1" applyBorder="1" applyAlignment="1">
      <alignment horizontal="center"/>
    </xf>
    <xf numFmtId="177" fontId="60" fillId="26" borderId="48" xfId="94" applyNumberFormat="1" applyFont="1" applyFill="1" applyBorder="1" applyAlignment="1">
      <alignment horizontal="center"/>
      <protection/>
    </xf>
    <xf numFmtId="177" fontId="64" fillId="26" borderId="45" xfId="94" applyNumberFormat="1" applyFont="1" applyFill="1" applyBorder="1" applyAlignment="1">
      <alignment horizontal="center"/>
      <protection/>
    </xf>
    <xf numFmtId="177" fontId="64" fillId="26" borderId="45" xfId="94" applyNumberFormat="1" applyFont="1" applyFill="1" applyBorder="1" applyAlignment="1">
      <alignment horizontal="center" vertical="center"/>
      <protection/>
    </xf>
    <xf numFmtId="177" fontId="60" fillId="0" borderId="45" xfId="94" applyNumberFormat="1" applyFont="1" applyFill="1" applyBorder="1" applyAlignment="1">
      <alignment horizontal="center" vertical="center"/>
      <protection/>
    </xf>
    <xf numFmtId="177" fontId="64" fillId="26" borderId="48" xfId="94" applyNumberFormat="1" applyFont="1" applyFill="1" applyBorder="1" applyAlignment="1">
      <alignment horizontal="center"/>
      <protection/>
    </xf>
    <xf numFmtId="177" fontId="60" fillId="0" borderId="0" xfId="94" applyNumberFormat="1" applyFont="1" applyFill="1" applyAlignment="1">
      <alignment horizontal="center"/>
      <protection/>
    </xf>
    <xf numFmtId="0" fontId="60" fillId="0" borderId="0" xfId="94" applyFont="1" applyFill="1" applyAlignment="1">
      <alignment horizontal="center"/>
      <protection/>
    </xf>
    <xf numFmtId="0" fontId="60" fillId="0" borderId="45" xfId="94" applyFont="1" applyFill="1" applyBorder="1" applyAlignment="1">
      <alignment horizontal="center"/>
      <protection/>
    </xf>
    <xf numFmtId="1" fontId="60" fillId="0" borderId="45" xfId="94" applyNumberFormat="1" applyFont="1" applyFill="1" applyBorder="1" applyAlignment="1">
      <alignment horizontal="center"/>
      <protection/>
    </xf>
    <xf numFmtId="185" fontId="22" fillId="0" borderId="0" xfId="0" applyNumberFormat="1" applyFont="1" applyAlignment="1">
      <alignment horizontal="center"/>
    </xf>
    <xf numFmtId="185" fontId="22" fillId="0" borderId="0" xfId="84" applyNumberFormat="1" applyFont="1" applyAlignment="1">
      <alignment horizontal="center"/>
      <protection/>
    </xf>
    <xf numFmtId="188" fontId="20" fillId="0" borderId="0" xfId="0" applyNumberFormat="1" applyFont="1" applyAlignment="1">
      <alignment horizontal="left"/>
    </xf>
    <xf numFmtId="0" fontId="54" fillId="29" borderId="45" xfId="81" applyFont="1" applyFill="1" applyBorder="1" applyAlignment="1">
      <alignment horizontal="center"/>
      <protection/>
    </xf>
    <xf numFmtId="0" fontId="33" fillId="29" borderId="45" xfId="81" applyFont="1" applyFill="1" applyBorder="1" applyAlignment="1">
      <alignment horizontal="center"/>
      <protection/>
    </xf>
    <xf numFmtId="0" fontId="33" fillId="29" borderId="45" xfId="81" applyFont="1" applyFill="1" applyBorder="1" applyAlignment="1">
      <alignment horizontal="left"/>
      <protection/>
    </xf>
    <xf numFmtId="0" fontId="54" fillId="29" borderId="45" xfId="81" applyNumberFormat="1" applyFont="1" applyFill="1" applyBorder="1" applyAlignment="1">
      <alignment horizontal="center"/>
      <protection/>
    </xf>
    <xf numFmtId="177" fontId="33" fillId="29" borderId="45" xfId="94" applyNumberFormat="1" applyFont="1" applyFill="1" applyBorder="1" applyAlignment="1">
      <alignment horizontal="center"/>
      <protection/>
    </xf>
    <xf numFmtId="177" fontId="33" fillId="0" borderId="0" xfId="0" applyNumberFormat="1" applyFont="1" applyAlignment="1">
      <alignment horizontal="left"/>
    </xf>
    <xf numFmtId="2" fontId="61" fillId="0" borderId="0" xfId="0" applyNumberFormat="1" applyFont="1" applyAlignment="1">
      <alignment horizontal="center"/>
    </xf>
    <xf numFmtId="2" fontId="61" fillId="0" borderId="0" xfId="0" applyNumberFormat="1" applyFont="1" applyBorder="1" applyAlignment="1">
      <alignment horizontal="center"/>
    </xf>
    <xf numFmtId="49" fontId="62" fillId="0" borderId="0" xfId="0" applyNumberFormat="1" applyFont="1" applyAlignment="1">
      <alignment horizontal="center"/>
    </xf>
    <xf numFmtId="0" fontId="33" fillId="26" borderId="45" xfId="81" applyFont="1" applyFill="1" applyBorder="1" applyAlignment="1">
      <alignment horizontal="center"/>
      <protection/>
    </xf>
    <xf numFmtId="0" fontId="20" fillId="0" borderId="48" xfId="81" applyFont="1" applyFill="1" applyBorder="1" applyAlignment="1">
      <alignment horizontal="center"/>
      <protection/>
    </xf>
    <xf numFmtId="0" fontId="19" fillId="29" borderId="52" xfId="81" applyFont="1" applyFill="1" applyBorder="1" applyAlignment="1">
      <alignment horizontal="right"/>
      <protection/>
    </xf>
    <xf numFmtId="0" fontId="19" fillId="29" borderId="53" xfId="81" applyFont="1" applyFill="1" applyBorder="1" applyAlignment="1">
      <alignment horizontal="left"/>
      <protection/>
    </xf>
    <xf numFmtId="0" fontId="0" fillId="0" borderId="0" xfId="0" applyFont="1" applyBorder="1" applyAlignment="1">
      <alignment horizontal="center"/>
    </xf>
    <xf numFmtId="14" fontId="61" fillId="0" borderId="13" xfId="0" applyNumberFormat="1" applyFont="1" applyBorder="1" applyAlignment="1">
      <alignment horizontal="center"/>
    </xf>
    <xf numFmtId="173" fontId="61" fillId="0" borderId="14" xfId="0" applyNumberFormat="1" applyFont="1" applyBorder="1" applyAlignment="1">
      <alignment horizontal="center"/>
    </xf>
    <xf numFmtId="14" fontId="61" fillId="0" borderId="14" xfId="0" applyNumberFormat="1" applyFont="1" applyFill="1" applyBorder="1" applyAlignment="1">
      <alignment horizontal="center"/>
    </xf>
    <xf numFmtId="1" fontId="61" fillId="0" borderId="14" xfId="0" applyNumberFormat="1" applyFont="1" applyFill="1" applyBorder="1" applyAlignment="1">
      <alignment horizontal="center"/>
    </xf>
    <xf numFmtId="2" fontId="61" fillId="0" borderId="14" xfId="0" applyNumberFormat="1" applyFont="1" applyFill="1" applyBorder="1" applyAlignment="1">
      <alignment horizontal="center"/>
    </xf>
    <xf numFmtId="175" fontId="61" fillId="29" borderId="14" xfId="0" applyNumberFormat="1" applyFont="1" applyFill="1" applyBorder="1" applyAlignment="1">
      <alignment horizontal="center"/>
    </xf>
    <xf numFmtId="0" fontId="65" fillId="0" borderId="0" xfId="0" applyFont="1" applyAlignment="1">
      <alignment/>
    </xf>
    <xf numFmtId="0" fontId="21" fillId="29" borderId="45" xfId="81" applyFont="1" applyFill="1" applyBorder="1" applyAlignment="1">
      <alignment horizontal="right"/>
      <protection/>
    </xf>
    <xf numFmtId="189" fontId="22" fillId="0" borderId="14" xfId="0" applyNumberFormat="1" applyFont="1" applyBorder="1" applyAlignment="1">
      <alignment/>
    </xf>
    <xf numFmtId="49" fontId="61" fillId="0" borderId="0" xfId="0" applyNumberFormat="1" applyFont="1" applyFill="1" applyBorder="1" applyAlignment="1">
      <alignment horizontal="center"/>
    </xf>
    <xf numFmtId="177" fontId="32" fillId="26" borderId="45" xfId="81" applyNumberFormat="1" applyFont="1" applyFill="1" applyBorder="1" applyAlignment="1">
      <alignment horizontal="left"/>
      <protection/>
    </xf>
    <xf numFmtId="177" fontId="32" fillId="26" borderId="45" xfId="81" applyNumberFormat="1" applyFont="1" applyFill="1" applyBorder="1" applyAlignment="1">
      <alignment horizontal="center"/>
      <protection/>
    </xf>
    <xf numFmtId="177" fontId="32" fillId="29" borderId="45" xfId="81" applyNumberFormat="1" applyFont="1" applyFill="1" applyBorder="1" applyAlignment="1">
      <alignment horizontal="center"/>
      <protection/>
    </xf>
    <xf numFmtId="177" fontId="32" fillId="29" borderId="45" xfId="94" applyNumberFormat="1" applyFont="1" applyFill="1" applyBorder="1" applyAlignment="1">
      <alignment horizontal="center"/>
      <protection/>
    </xf>
    <xf numFmtId="0" fontId="33" fillId="29" borderId="0" xfId="81" applyFont="1" applyFill="1" applyBorder="1" applyAlignment="1">
      <alignment horizontal="left"/>
      <protection/>
    </xf>
    <xf numFmtId="0" fontId="32" fillId="0" borderId="0" xfId="0" applyFont="1" applyAlignment="1">
      <alignment horizontal="left"/>
    </xf>
    <xf numFmtId="173" fontId="32" fillId="24" borderId="0" xfId="100" applyNumberFormat="1" applyFont="1" applyFill="1" applyAlignment="1">
      <alignment horizontal="center"/>
      <protection/>
    </xf>
    <xf numFmtId="0" fontId="60" fillId="0" borderId="45" xfId="81" applyFont="1" applyFill="1" applyBorder="1" applyAlignment="1">
      <alignment horizontal="center"/>
      <protection/>
    </xf>
    <xf numFmtId="16" fontId="32" fillId="0" borderId="0" xfId="0" applyNumberFormat="1" applyFont="1" applyAlignment="1">
      <alignment horizontal="left"/>
    </xf>
    <xf numFmtId="0" fontId="32" fillId="0" borderId="0" xfId="0" applyFont="1" applyBorder="1" applyAlignment="1">
      <alignment/>
    </xf>
    <xf numFmtId="49" fontId="32" fillId="0" borderId="45" xfId="94" applyNumberFormat="1" applyFont="1" applyFill="1" applyBorder="1" applyAlignment="1">
      <alignment horizontal="center" wrapText="1"/>
      <protection/>
    </xf>
    <xf numFmtId="0" fontId="22" fillId="0" borderId="0" xfId="0" applyFont="1" applyAlignment="1" quotePrefix="1">
      <alignment/>
    </xf>
    <xf numFmtId="177" fontId="61" fillId="0" borderId="0" xfId="0" applyNumberFormat="1" applyFont="1" applyAlignment="1">
      <alignment horizontal="center"/>
    </xf>
    <xf numFmtId="0" fontId="0" fillId="0" borderId="0" xfId="0" applyFont="1" applyFill="1" applyAlignment="1">
      <alignment horizontal="center"/>
    </xf>
    <xf numFmtId="177" fontId="60" fillId="29" borderId="45" xfId="81" applyNumberFormat="1" applyFont="1" applyFill="1" applyBorder="1" applyAlignment="1">
      <alignment horizontal="center"/>
      <protection/>
    </xf>
    <xf numFmtId="0" fontId="0" fillId="0" borderId="0" xfId="0" applyFont="1" applyFill="1" applyAlignment="1">
      <alignment horizontal="right"/>
    </xf>
    <xf numFmtId="177" fontId="20" fillId="30" borderId="45" xfId="81" applyNumberFormat="1" applyFont="1" applyFill="1" applyBorder="1" applyAlignment="1">
      <alignment horizontal="center"/>
      <protection/>
    </xf>
    <xf numFmtId="0" fontId="61" fillId="0" borderId="0" xfId="0" applyFont="1" applyAlignment="1">
      <alignment/>
    </xf>
    <xf numFmtId="15" fontId="22" fillId="0" borderId="0" xfId="0" applyNumberFormat="1" applyFont="1" applyAlignment="1">
      <alignment horizontal="center"/>
    </xf>
    <xf numFmtId="0" fontId="62" fillId="0" borderId="22" xfId="0" applyFont="1" applyBorder="1" applyAlignment="1">
      <alignment horizontal="center"/>
    </xf>
    <xf numFmtId="14" fontId="51" fillId="0" borderId="22" xfId="0" applyNumberFormat="1" applyFont="1" applyBorder="1" applyAlignment="1">
      <alignment horizontal="left"/>
    </xf>
    <xf numFmtId="0" fontId="62" fillId="0" borderId="33" xfId="0" applyFont="1" applyBorder="1" applyAlignment="1">
      <alignment/>
    </xf>
    <xf numFmtId="177" fontId="32" fillId="26" borderId="45" xfId="94" applyNumberFormat="1" applyFont="1" applyFill="1" applyBorder="1" applyAlignment="1">
      <alignment horizontal="center"/>
      <protection/>
    </xf>
    <xf numFmtId="177" fontId="32" fillId="0" borderId="0" xfId="0" applyNumberFormat="1" applyFont="1" applyAlignment="1">
      <alignment horizontal="left"/>
    </xf>
    <xf numFmtId="176" fontId="22" fillId="0" borderId="16" xfId="0" applyNumberFormat="1" applyFont="1" applyFill="1" applyBorder="1" applyAlignment="1">
      <alignment horizontal="center"/>
    </xf>
    <xf numFmtId="2" fontId="22" fillId="0" borderId="45" xfId="0" applyNumberFormat="1" applyFont="1" applyFill="1" applyBorder="1" applyAlignment="1">
      <alignment horizontal="center"/>
    </xf>
    <xf numFmtId="49" fontId="0" fillId="0" borderId="0" xfId="0" applyNumberFormat="1" applyFont="1" applyAlignment="1">
      <alignment/>
    </xf>
    <xf numFmtId="0" fontId="51" fillId="0" borderId="0" xfId="0" applyFont="1" applyBorder="1" applyAlignment="1">
      <alignment horizontal="center" vertical="center"/>
    </xf>
    <xf numFmtId="177" fontId="32" fillId="0" borderId="22" xfId="71" applyNumberFormat="1" applyFont="1" applyBorder="1" applyAlignment="1">
      <alignment horizontal="right"/>
      <protection/>
    </xf>
    <xf numFmtId="14" fontId="22" fillId="0" borderId="0" xfId="0" applyNumberFormat="1" applyFont="1" applyAlignment="1">
      <alignment horizontal="center"/>
    </xf>
    <xf numFmtId="190" fontId="22" fillId="0" borderId="16" xfId="0" applyNumberFormat="1" applyFont="1" applyFill="1" applyBorder="1" applyAlignment="1">
      <alignment horizontal="center"/>
    </xf>
    <xf numFmtId="175" fontId="22" fillId="0" borderId="16" xfId="0" applyNumberFormat="1" applyFont="1" applyFill="1" applyBorder="1" applyAlignment="1">
      <alignment horizontal="center"/>
    </xf>
    <xf numFmtId="175" fontId="22" fillId="0" borderId="45" xfId="0" applyNumberFormat="1" applyFont="1" applyFill="1" applyBorder="1" applyAlignment="1">
      <alignment horizontal="center"/>
    </xf>
    <xf numFmtId="2" fontId="20" fillId="29" borderId="45" xfId="81" applyNumberFormat="1" applyFont="1" applyFill="1" applyBorder="1" applyAlignment="1">
      <alignment horizontal="center"/>
      <protection/>
    </xf>
    <xf numFmtId="1" fontId="21" fillId="29" borderId="45" xfId="81" applyNumberFormat="1" applyFont="1" applyFill="1" applyBorder="1" applyAlignment="1">
      <alignment horizontal="center"/>
      <protection/>
    </xf>
    <xf numFmtId="0" fontId="22" fillId="0" borderId="0" xfId="95" applyFont="1">
      <alignment/>
      <protection/>
    </xf>
    <xf numFmtId="177" fontId="22" fillId="0" borderId="0" xfId="98" applyNumberFormat="1" applyFont="1">
      <alignment/>
      <protection/>
    </xf>
    <xf numFmtId="177" fontId="22" fillId="0" borderId="0" xfId="101" applyNumberFormat="1" applyFont="1">
      <alignment/>
      <protection/>
    </xf>
    <xf numFmtId="177" fontId="0" fillId="0" borderId="20" xfId="0" applyNumberFormat="1" applyFill="1" applyBorder="1" applyAlignment="1">
      <alignment horizontal="center"/>
    </xf>
    <xf numFmtId="49" fontId="0" fillId="0" borderId="0" xfId="0" applyNumberFormat="1" applyFont="1" applyFill="1" applyBorder="1" applyAlignment="1">
      <alignment horizontal="center"/>
    </xf>
    <xf numFmtId="0" fontId="20" fillId="0" borderId="0" xfId="0" applyFont="1" applyFill="1" applyBorder="1" applyAlignment="1">
      <alignment horizontal="left" wrapText="1"/>
    </xf>
    <xf numFmtId="49" fontId="32" fillId="0" borderId="0" xfId="94" applyNumberFormat="1" applyFont="1" applyFill="1" applyBorder="1" applyAlignment="1">
      <alignment horizontal="center" wrapText="1"/>
      <protection/>
    </xf>
    <xf numFmtId="0" fontId="32" fillId="0" borderId="0" xfId="94" applyFont="1" applyFill="1" applyBorder="1" applyAlignment="1">
      <alignment horizontal="center"/>
      <protection/>
    </xf>
    <xf numFmtId="177" fontId="32" fillId="0" borderId="0" xfId="94" applyNumberFormat="1" applyFont="1" applyFill="1" applyBorder="1" applyAlignment="1">
      <alignment horizontal="center"/>
      <protection/>
    </xf>
    <xf numFmtId="177" fontId="35" fillId="0" borderId="54" xfId="0" applyNumberFormat="1" applyFont="1" applyFill="1" applyBorder="1" applyAlignment="1">
      <alignment horizontal="center"/>
    </xf>
    <xf numFmtId="2" fontId="32" fillId="0" borderId="54" xfId="0" applyNumberFormat="1" applyFont="1" applyFill="1" applyBorder="1" applyAlignment="1">
      <alignment horizontal="center"/>
    </xf>
    <xf numFmtId="0" fontId="32" fillId="0" borderId="54" xfId="0" applyFont="1" applyFill="1" applyBorder="1" applyAlignment="1">
      <alignment horizontal="center"/>
    </xf>
    <xf numFmtId="177" fontId="32" fillId="0" borderId="0" xfId="0" applyNumberFormat="1" applyFont="1" applyFill="1" applyBorder="1" applyAlignment="1">
      <alignment horizontal="center"/>
    </xf>
    <xf numFmtId="0" fontId="20" fillId="26" borderId="45" xfId="0" applyFont="1" applyFill="1" applyBorder="1" applyAlignment="1">
      <alignment horizontal="right"/>
    </xf>
    <xf numFmtId="177" fontId="20" fillId="26" borderId="45" xfId="0" applyNumberFormat="1" applyFont="1" applyFill="1" applyBorder="1" applyAlignment="1">
      <alignment horizontal="center"/>
    </xf>
    <xf numFmtId="0" fontId="20" fillId="26" borderId="45" xfId="0" applyFont="1" applyFill="1" applyBorder="1" applyAlignment="1">
      <alignment horizontal="left"/>
    </xf>
    <xf numFmtId="177" fontId="42" fillId="0" borderId="0" xfId="0" applyNumberFormat="1" applyFont="1" applyAlignment="1">
      <alignment/>
    </xf>
    <xf numFmtId="1" fontId="33" fillId="0" borderId="54" xfId="0" applyNumberFormat="1" applyFont="1" applyFill="1" applyBorder="1" applyAlignment="1">
      <alignment horizontal="center"/>
    </xf>
    <xf numFmtId="2" fontId="33" fillId="0" borderId="54" xfId="0" applyNumberFormat="1" applyFont="1" applyBorder="1" applyAlignment="1">
      <alignment horizontal="center"/>
    </xf>
    <xf numFmtId="0" fontId="20" fillId="26" borderId="55" xfId="0" applyFont="1" applyFill="1" applyBorder="1" applyAlignment="1">
      <alignment horizontal="right"/>
    </xf>
    <xf numFmtId="177" fontId="32" fillId="26" borderId="55" xfId="0" applyNumberFormat="1" applyFont="1" applyFill="1" applyBorder="1" applyAlignment="1">
      <alignment horizontal="center"/>
    </xf>
    <xf numFmtId="0" fontId="20" fillId="26" borderId="55" xfId="0" applyFont="1" applyFill="1" applyBorder="1" applyAlignment="1">
      <alignment horizontal="left"/>
    </xf>
    <xf numFmtId="177" fontId="21" fillId="0" borderId="0" xfId="0" applyNumberFormat="1" applyFont="1" applyAlignment="1">
      <alignment horizontal="left"/>
    </xf>
    <xf numFmtId="0" fontId="21" fillId="0" borderId="56" xfId="0" applyFont="1" applyFill="1" applyBorder="1" applyAlignment="1">
      <alignment horizontal="left"/>
    </xf>
    <xf numFmtId="0" fontId="21" fillId="0" borderId="54" xfId="0" applyFont="1" applyFill="1" applyBorder="1" applyAlignment="1">
      <alignment horizontal="left"/>
    </xf>
    <xf numFmtId="0" fontId="20" fillId="0" borderId="45" xfId="0" applyFont="1" applyFill="1" applyBorder="1" applyAlignment="1">
      <alignment horizontal="left" wrapText="1"/>
    </xf>
    <xf numFmtId="0" fontId="31" fillId="0" borderId="45" xfId="0" applyFont="1" applyFill="1" applyBorder="1" applyAlignment="1">
      <alignment horizontal="left"/>
    </xf>
    <xf numFmtId="49" fontId="20" fillId="0" borderId="45" xfId="0" applyNumberFormat="1" applyFont="1" applyFill="1" applyBorder="1" applyAlignment="1">
      <alignment horizontal="center" wrapText="1"/>
    </xf>
    <xf numFmtId="0" fontId="60" fillId="0" borderId="45" xfId="0" applyFont="1" applyFill="1" applyBorder="1" applyAlignment="1">
      <alignment horizontal="center"/>
    </xf>
    <xf numFmtId="177" fontId="60" fillId="0" borderId="45" xfId="0" applyNumberFormat="1" applyFont="1" applyFill="1" applyBorder="1" applyAlignment="1">
      <alignment horizontal="center"/>
    </xf>
    <xf numFmtId="49" fontId="20" fillId="0" borderId="0" xfId="94" applyNumberFormat="1" applyFont="1" applyFill="1" applyBorder="1" applyAlignment="1">
      <alignment horizontal="center" wrapText="1"/>
      <protection/>
    </xf>
    <xf numFmtId="0" fontId="32" fillId="0" borderId="57" xfId="94" applyFont="1" applyFill="1" applyBorder="1" applyAlignment="1">
      <alignment horizontal="center"/>
      <protection/>
    </xf>
    <xf numFmtId="177" fontId="32" fillId="0" borderId="0" xfId="94" applyNumberFormat="1" applyFont="1" applyFill="1" applyAlignment="1">
      <alignment horizontal="center"/>
      <protection/>
    </xf>
    <xf numFmtId="49" fontId="32" fillId="0" borderId="45" xfId="94" applyNumberFormat="1" applyFont="1" applyFill="1" applyBorder="1" applyAlignment="1">
      <alignment horizontal="center" wrapText="1"/>
      <protection/>
    </xf>
    <xf numFmtId="0" fontId="32" fillId="0" borderId="45" xfId="94" applyFont="1" applyFill="1" applyBorder="1" applyAlignment="1">
      <alignment horizontal="center"/>
      <protection/>
    </xf>
    <xf numFmtId="177" fontId="32" fillId="0" borderId="45" xfId="94" applyNumberFormat="1" applyFont="1" applyFill="1" applyBorder="1" applyAlignment="1">
      <alignment horizontal="center"/>
      <protection/>
    </xf>
    <xf numFmtId="177" fontId="20" fillId="0" borderId="45" xfId="0" applyNumberFormat="1" applyFont="1" applyFill="1" applyBorder="1" applyAlignment="1">
      <alignment horizontal="center"/>
    </xf>
    <xf numFmtId="2" fontId="32" fillId="0" borderId="45" xfId="0" applyNumberFormat="1" applyFont="1" applyFill="1" applyBorder="1" applyAlignment="1">
      <alignment horizontal="center"/>
    </xf>
    <xf numFmtId="0" fontId="21" fillId="25" borderId="0" xfId="0" applyFont="1" applyFill="1" applyAlignment="1">
      <alignment horizontal="center"/>
    </xf>
    <xf numFmtId="0" fontId="21" fillId="25" borderId="45" xfId="0" applyFont="1" applyFill="1" applyBorder="1" applyAlignment="1">
      <alignment horizontal="left"/>
    </xf>
    <xf numFmtId="0" fontId="21" fillId="25" borderId="45" xfId="0" applyFont="1" applyFill="1" applyBorder="1" applyAlignment="1">
      <alignment horizontal="center"/>
    </xf>
    <xf numFmtId="0" fontId="32" fillId="25" borderId="45" xfId="0" applyFont="1" applyFill="1" applyBorder="1" applyAlignment="1">
      <alignment horizontal="center"/>
    </xf>
    <xf numFmtId="177" fontId="32" fillId="25" borderId="45" xfId="0" applyNumberFormat="1" applyFont="1" applyFill="1" applyBorder="1" applyAlignment="1">
      <alignment horizontal="center"/>
    </xf>
    <xf numFmtId="177" fontId="20" fillId="25" borderId="45" xfId="0" applyNumberFormat="1" applyFont="1" applyFill="1" applyBorder="1" applyAlignment="1">
      <alignment horizontal="center"/>
    </xf>
    <xf numFmtId="2" fontId="32" fillId="25" borderId="45" xfId="0" applyNumberFormat="1" applyFont="1" applyFill="1" applyBorder="1" applyAlignment="1">
      <alignment horizontal="center"/>
    </xf>
    <xf numFmtId="1" fontId="20" fillId="25" borderId="0" xfId="0" applyNumberFormat="1" applyFont="1" applyFill="1" applyAlignment="1">
      <alignment horizontal="center"/>
    </xf>
    <xf numFmtId="0" fontId="21" fillId="0" borderId="45" xfId="0" applyFont="1" applyBorder="1" applyAlignment="1">
      <alignment horizontal="center"/>
    </xf>
    <xf numFmtId="0" fontId="21" fillId="0" borderId="45" xfId="0" applyFont="1" applyBorder="1" applyAlignment="1">
      <alignment horizontal="left"/>
    </xf>
    <xf numFmtId="0" fontId="21" fillId="26" borderId="45" xfId="0" applyFont="1" applyFill="1" applyBorder="1" applyAlignment="1">
      <alignment horizontal="left"/>
    </xf>
    <xf numFmtId="177" fontId="42" fillId="26" borderId="45" xfId="0" applyNumberFormat="1" applyFont="1" applyFill="1" applyBorder="1" applyAlignment="1">
      <alignment/>
    </xf>
    <xf numFmtId="0" fontId="21" fillId="0" borderId="45" xfId="0" applyFont="1" applyFill="1" applyBorder="1" applyAlignment="1">
      <alignment horizontal="center"/>
    </xf>
    <xf numFmtId="0" fontId="21" fillId="0" borderId="45" xfId="0" applyFont="1" applyFill="1" applyBorder="1" applyAlignment="1">
      <alignment horizontal="left"/>
    </xf>
    <xf numFmtId="177" fontId="32" fillId="26" borderId="45" xfId="0" applyNumberFormat="1" applyFont="1" applyFill="1" applyBorder="1" applyAlignment="1">
      <alignment horizontal="center"/>
    </xf>
    <xf numFmtId="177" fontId="21" fillId="26" borderId="45" xfId="0" applyNumberFormat="1" applyFont="1" applyFill="1" applyBorder="1" applyAlignment="1">
      <alignment horizontal="left"/>
    </xf>
    <xf numFmtId="0" fontId="21" fillId="26" borderId="0" xfId="0" applyFont="1" applyFill="1" applyAlignment="1">
      <alignment horizontal="left"/>
    </xf>
    <xf numFmtId="0" fontId="20" fillId="0" borderId="45" xfId="0" applyFont="1" applyFill="1" applyBorder="1" applyAlignment="1">
      <alignment horizontal="left"/>
    </xf>
    <xf numFmtId="0" fontId="20" fillId="0" borderId="45" xfId="0" applyFont="1" applyFill="1" applyBorder="1" applyAlignment="1">
      <alignment horizontal="right"/>
    </xf>
    <xf numFmtId="0" fontId="32" fillId="0" borderId="45" xfId="0" applyNumberFormat="1" applyFont="1" applyFill="1" applyBorder="1" applyAlignment="1">
      <alignment horizontal="center"/>
    </xf>
    <xf numFmtId="177" fontId="31" fillId="0" borderId="45" xfId="0" applyNumberFormat="1" applyFont="1" applyFill="1" applyBorder="1" applyAlignment="1">
      <alignment horizontal="center"/>
    </xf>
    <xf numFmtId="0" fontId="20" fillId="0" borderId="45" xfId="81" applyFont="1" applyBorder="1" applyAlignment="1">
      <alignment horizontal="center"/>
      <protection/>
    </xf>
    <xf numFmtId="0" fontId="20" fillId="0" borderId="45" xfId="81" applyFont="1" applyFill="1" applyBorder="1" applyAlignment="1">
      <alignment horizontal="left"/>
      <protection/>
    </xf>
    <xf numFmtId="0" fontId="20" fillId="0" borderId="45" xfId="81" applyNumberFormat="1" applyFont="1" applyFill="1" applyBorder="1" applyAlignment="1">
      <alignment horizontal="center"/>
      <protection/>
    </xf>
    <xf numFmtId="0" fontId="21" fillId="28" borderId="45" xfId="81" applyFont="1" applyFill="1" applyBorder="1" applyAlignment="1">
      <alignment horizontal="right"/>
      <protection/>
    </xf>
    <xf numFmtId="0" fontId="20" fillId="28" borderId="45" xfId="81" applyFont="1" applyFill="1" applyBorder="1" applyAlignment="1">
      <alignment horizontal="center"/>
      <protection/>
    </xf>
    <xf numFmtId="177" fontId="32" fillId="28" borderId="45" xfId="81" applyNumberFormat="1" applyFont="1" applyFill="1" applyBorder="1" applyAlignment="1">
      <alignment horizontal="center"/>
      <protection/>
    </xf>
    <xf numFmtId="177" fontId="32" fillId="0" borderId="10" xfId="81" applyNumberFormat="1" applyFont="1" applyFill="1" applyBorder="1" applyAlignment="1">
      <alignment horizontal="center"/>
      <protection/>
    </xf>
    <xf numFmtId="0" fontId="20" fillId="0" borderId="0" xfId="81" applyFont="1">
      <alignment/>
      <protection/>
    </xf>
    <xf numFmtId="0" fontId="47" fillId="0" borderId="0" xfId="81" applyFont="1" applyFill="1">
      <alignment/>
      <protection/>
    </xf>
    <xf numFmtId="0" fontId="21" fillId="0" borderId="45" xfId="81" applyFont="1" applyFill="1" applyBorder="1" applyAlignment="1">
      <alignment horizontal="right"/>
      <protection/>
    </xf>
    <xf numFmtId="0" fontId="20" fillId="0" borderId="45" xfId="81" applyFont="1" applyFill="1" applyBorder="1" applyAlignment="1">
      <alignment horizontal="center"/>
      <protection/>
    </xf>
    <xf numFmtId="177" fontId="32" fillId="0" borderId="45" xfId="81" applyNumberFormat="1" applyFont="1" applyFill="1" applyBorder="1" applyAlignment="1">
      <alignment horizontal="center"/>
      <protection/>
    </xf>
    <xf numFmtId="177" fontId="32" fillId="0" borderId="0" xfId="81" applyNumberFormat="1" applyFont="1" applyFill="1" applyBorder="1" applyAlignment="1">
      <alignment horizontal="center"/>
      <protection/>
    </xf>
    <xf numFmtId="177" fontId="21" fillId="26" borderId="0" xfId="0" applyNumberFormat="1" applyFont="1" applyFill="1" applyAlignment="1">
      <alignment horizontal="left"/>
    </xf>
    <xf numFmtId="177" fontId="21" fillId="0" borderId="45" xfId="0" applyNumberFormat="1" applyFont="1" applyBorder="1" applyAlignment="1">
      <alignment horizontal="center"/>
    </xf>
    <xf numFmtId="177" fontId="0" fillId="31" borderId="45" xfId="0" applyNumberFormat="1" applyFill="1" applyBorder="1" applyAlignment="1">
      <alignment horizontal="center"/>
    </xf>
    <xf numFmtId="177" fontId="0" fillId="31" borderId="27" xfId="0" applyNumberFormat="1" applyFill="1" applyBorder="1" applyAlignment="1">
      <alignment horizontal="center"/>
    </xf>
    <xf numFmtId="0" fontId="0" fillId="31" borderId="0" xfId="0" applyFill="1" applyAlignment="1">
      <alignment/>
    </xf>
    <xf numFmtId="14" fontId="0" fillId="0" borderId="0" xfId="81" applyNumberFormat="1" applyBorder="1">
      <alignment/>
      <protection/>
    </xf>
    <xf numFmtId="0" fontId="33" fillId="29" borderId="58" xfId="81" applyFont="1" applyFill="1" applyBorder="1" applyAlignment="1">
      <alignment horizontal="center" wrapText="1"/>
      <protection/>
    </xf>
    <xf numFmtId="0" fontId="54" fillId="29" borderId="59" xfId="0" applyFont="1" applyFill="1" applyBorder="1" applyAlignment="1">
      <alignment horizontal="center" wrapText="1"/>
    </xf>
    <xf numFmtId="0" fontId="54" fillId="29" borderId="60" xfId="0" applyFont="1" applyFill="1" applyBorder="1" applyAlignment="1">
      <alignment horizontal="center" wrapText="1"/>
    </xf>
    <xf numFmtId="0" fontId="54" fillId="29" borderId="61" xfId="0" applyFont="1" applyFill="1" applyBorder="1" applyAlignment="1">
      <alignment horizontal="center" wrapText="1"/>
    </xf>
    <xf numFmtId="0" fontId="0" fillId="0" borderId="16" xfId="0" applyFont="1" applyBorder="1" applyAlignment="1">
      <alignment horizontal="center" vertical="center"/>
    </xf>
    <xf numFmtId="0" fontId="0" fillId="0" borderId="14" xfId="0" applyFont="1" applyBorder="1" applyAlignment="1">
      <alignment horizontal="center" vertical="center"/>
    </xf>
    <xf numFmtId="177" fontId="20" fillId="0" borderId="0" xfId="0" applyNumberFormat="1" applyFont="1" applyBorder="1" applyAlignment="1">
      <alignment horizontal="left" wrapText="1"/>
    </xf>
    <xf numFmtId="0" fontId="0" fillId="0" borderId="0" xfId="0" applyAlignment="1">
      <alignment/>
    </xf>
    <xf numFmtId="0" fontId="0" fillId="0" borderId="14" xfId="0" applyFont="1" applyBorder="1" applyAlignment="1">
      <alignment horizontal="center"/>
    </xf>
    <xf numFmtId="0" fontId="0" fillId="0" borderId="0" xfId="0" applyFont="1" applyBorder="1" applyAlignment="1">
      <alignment/>
    </xf>
    <xf numFmtId="0" fontId="0" fillId="0" borderId="22" xfId="0" applyFont="1" applyBorder="1" applyAlignment="1">
      <alignment/>
    </xf>
    <xf numFmtId="0" fontId="51" fillId="0" borderId="37" xfId="0" applyFont="1" applyFill="1" applyBorder="1" applyAlignment="1">
      <alignment/>
    </xf>
    <xf numFmtId="0" fontId="51" fillId="0" borderId="35" xfId="0" applyFont="1" applyFill="1" applyBorder="1" applyAlignment="1">
      <alignment/>
    </xf>
    <xf numFmtId="0" fontId="51" fillId="0" borderId="22" xfId="0" applyFont="1" applyBorder="1" applyAlignment="1">
      <alignment/>
    </xf>
    <xf numFmtId="0" fontId="54" fillId="20" borderId="39" xfId="0" applyFont="1" applyFill="1" applyBorder="1" applyAlignment="1">
      <alignment/>
    </xf>
    <xf numFmtId="0" fontId="0" fillId="0" borderId="0" xfId="0" applyFont="1" applyBorder="1" applyAlignment="1">
      <alignment horizontal="center" wrapText="1"/>
    </xf>
  </cellXfs>
  <cellStyles count="21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1"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0 2" xfId="57"/>
    <cellStyle name="Normal 10 3" xfId="58"/>
    <cellStyle name="Normal 10 4" xfId="59"/>
    <cellStyle name="Normal 10 5" xfId="60"/>
    <cellStyle name="Normal 11" xfId="61"/>
    <cellStyle name="Normal 11 2" xfId="62"/>
    <cellStyle name="Normal 11 3" xfId="63"/>
    <cellStyle name="Normal 11 4" xfId="64"/>
    <cellStyle name="Normal 11 5" xfId="65"/>
    <cellStyle name="Normal 12" xfId="66"/>
    <cellStyle name="Normal 12 2" xfId="67"/>
    <cellStyle name="Normal 12 3" xfId="68"/>
    <cellStyle name="Normal 12 4" xfId="69"/>
    <cellStyle name="Normal 12 5" xfId="70"/>
    <cellStyle name="Normal 13" xfId="71"/>
    <cellStyle name="Normal 13 2" xfId="72"/>
    <cellStyle name="Normal 13 3" xfId="73"/>
    <cellStyle name="Normal 13 4" xfId="74"/>
    <cellStyle name="Normal 13 5" xfId="75"/>
    <cellStyle name="Normal 14" xfId="76"/>
    <cellStyle name="Normal 14 2" xfId="77"/>
    <cellStyle name="Normal 14 3" xfId="78"/>
    <cellStyle name="Normal 14 4" xfId="79"/>
    <cellStyle name="Normal 14 5" xfId="80"/>
    <cellStyle name="Normal 15" xfId="81"/>
    <cellStyle name="Normal 16" xfId="82"/>
    <cellStyle name="Normal 17" xfId="83"/>
    <cellStyle name="Normal 18" xfId="84"/>
    <cellStyle name="Normal 19" xfId="85"/>
    <cellStyle name="Normal 2" xfId="86"/>
    <cellStyle name="Normal 2 2" xfId="87"/>
    <cellStyle name="Normal 2 3" xfId="88"/>
    <cellStyle name="Normal 2 4" xfId="89"/>
    <cellStyle name="Normal 2 5" xfId="90"/>
    <cellStyle name="Normal 20" xfId="91"/>
    <cellStyle name="Normal 21" xfId="92"/>
    <cellStyle name="Normal 22" xfId="93"/>
    <cellStyle name="Normal 23" xfId="94"/>
    <cellStyle name="Normal 24 2" xfId="95"/>
    <cellStyle name="Normal 24 3" xfId="96"/>
    <cellStyle name="Normal 24 4" xfId="97"/>
    <cellStyle name="Normal 25" xfId="98"/>
    <cellStyle name="Normal 26" xfId="99"/>
    <cellStyle name="Normal 27" xfId="100"/>
    <cellStyle name="Normal 28" xfId="101"/>
    <cellStyle name="Normal 3" xfId="102"/>
    <cellStyle name="Normal 3 2" xfId="103"/>
    <cellStyle name="Normal 3 3" xfId="104"/>
    <cellStyle name="Normal 3 4" xfId="105"/>
    <cellStyle name="Normal 3 5" xfId="106"/>
    <cellStyle name="Normal 4" xfId="107"/>
    <cellStyle name="Normal 4 2" xfId="108"/>
    <cellStyle name="Normal 4 3" xfId="109"/>
    <cellStyle name="Normal 4 4" xfId="110"/>
    <cellStyle name="Normal 4 5" xfId="111"/>
    <cellStyle name="Normal 5" xfId="112"/>
    <cellStyle name="Normal 5 2" xfId="113"/>
    <cellStyle name="Normal 5 3" xfId="114"/>
    <cellStyle name="Normal 5 4" xfId="115"/>
    <cellStyle name="Normal 5 5" xfId="116"/>
    <cellStyle name="Normal 6" xfId="117"/>
    <cellStyle name="Normal 6 2" xfId="118"/>
    <cellStyle name="Normal 6 3" xfId="119"/>
    <cellStyle name="Normal 6 4" xfId="120"/>
    <cellStyle name="Normal 6 5" xfId="121"/>
    <cellStyle name="Normal 7" xfId="122"/>
    <cellStyle name="Normal 7 2" xfId="123"/>
    <cellStyle name="Normal 7 3" xfId="124"/>
    <cellStyle name="Normal 7 4" xfId="125"/>
    <cellStyle name="Normal 7 5" xfId="126"/>
    <cellStyle name="Normal 8" xfId="127"/>
    <cellStyle name="Normal 8 2" xfId="128"/>
    <cellStyle name="Normal 8 3" xfId="129"/>
    <cellStyle name="Normal 8 4" xfId="130"/>
    <cellStyle name="Normal 8 5" xfId="131"/>
    <cellStyle name="Normal 9" xfId="132"/>
    <cellStyle name="Normal 9 2" xfId="133"/>
    <cellStyle name="Normal 9 3" xfId="134"/>
    <cellStyle name="Normal 9 4" xfId="135"/>
    <cellStyle name="Normal 9 5" xfId="136"/>
    <cellStyle name="Note" xfId="137"/>
    <cellStyle name="Note 10" xfId="138"/>
    <cellStyle name="Note 10 2" xfId="139"/>
    <cellStyle name="Note 10 3" xfId="140"/>
    <cellStyle name="Note 10 4" xfId="141"/>
    <cellStyle name="Note 10 5" xfId="142"/>
    <cellStyle name="Note 11" xfId="143"/>
    <cellStyle name="Note 11 2" xfId="144"/>
    <cellStyle name="Note 11 3" xfId="145"/>
    <cellStyle name="Note 11 4" xfId="146"/>
    <cellStyle name="Note 11 5" xfId="147"/>
    <cellStyle name="Note 12" xfId="148"/>
    <cellStyle name="Note 12 2" xfId="149"/>
    <cellStyle name="Note 12 3" xfId="150"/>
    <cellStyle name="Note 12 4" xfId="151"/>
    <cellStyle name="Note 12 5" xfId="152"/>
    <cellStyle name="Note 13" xfId="153"/>
    <cellStyle name="Note 13 2" xfId="154"/>
    <cellStyle name="Note 13 3" xfId="155"/>
    <cellStyle name="Note 13 4" xfId="156"/>
    <cellStyle name="Note 13 5" xfId="157"/>
    <cellStyle name="Note 14" xfId="158"/>
    <cellStyle name="Note 14 2" xfId="159"/>
    <cellStyle name="Note 14 3" xfId="160"/>
    <cellStyle name="Note 14 4" xfId="161"/>
    <cellStyle name="Note 14 5" xfId="162"/>
    <cellStyle name="Note 15" xfId="163"/>
    <cellStyle name="Note 16" xfId="164"/>
    <cellStyle name="Note 17" xfId="165"/>
    <cellStyle name="Note 18" xfId="166"/>
    <cellStyle name="Note 19" xfId="167"/>
    <cellStyle name="Note 2" xfId="168"/>
    <cellStyle name="Note 2 2" xfId="169"/>
    <cellStyle name="Note 2 3" xfId="170"/>
    <cellStyle name="Note 2 4" xfId="171"/>
    <cellStyle name="Note 2 5" xfId="172"/>
    <cellStyle name="Note 20" xfId="173"/>
    <cellStyle name="Note 21" xfId="174"/>
    <cellStyle name="Note 22" xfId="175"/>
    <cellStyle name="Note 23" xfId="176"/>
    <cellStyle name="Note 24" xfId="177"/>
    <cellStyle name="Note 25" xfId="178"/>
    <cellStyle name="Note 26" xfId="179"/>
    <cellStyle name="Note 27" xfId="180"/>
    <cellStyle name="Note 28" xfId="181"/>
    <cellStyle name="Note 29" xfId="182"/>
    <cellStyle name="Note 3" xfId="183"/>
    <cellStyle name="Note 3 2" xfId="184"/>
    <cellStyle name="Note 3 3" xfId="185"/>
    <cellStyle name="Note 3 4" xfId="186"/>
    <cellStyle name="Note 3 5" xfId="187"/>
    <cellStyle name="Note 30" xfId="188"/>
    <cellStyle name="Note 30 2" xfId="189"/>
    <cellStyle name="Note 30 3" xfId="190"/>
    <cellStyle name="Note 30 4" xfId="191"/>
    <cellStyle name="Note 31" xfId="192"/>
    <cellStyle name="Note 32" xfId="193"/>
    <cellStyle name="Note 33" xfId="194"/>
    <cellStyle name="Note 4" xfId="195"/>
    <cellStyle name="Note 4 2" xfId="196"/>
    <cellStyle name="Note 4 3" xfId="197"/>
    <cellStyle name="Note 4 4" xfId="198"/>
    <cellStyle name="Note 4 5" xfId="199"/>
    <cellStyle name="Note 5" xfId="200"/>
    <cellStyle name="Note 5 2" xfId="201"/>
    <cellStyle name="Note 5 3" xfId="202"/>
    <cellStyle name="Note 5 4" xfId="203"/>
    <cellStyle name="Note 5 5" xfId="204"/>
    <cellStyle name="Note 6" xfId="205"/>
    <cellStyle name="Note 6 2" xfId="206"/>
    <cellStyle name="Note 6 3" xfId="207"/>
    <cellStyle name="Note 6 4" xfId="208"/>
    <cellStyle name="Note 6 5" xfId="209"/>
    <cellStyle name="Note 7" xfId="210"/>
    <cellStyle name="Note 7 2" xfId="211"/>
    <cellStyle name="Note 7 3" xfId="212"/>
    <cellStyle name="Note 7 4" xfId="213"/>
    <cellStyle name="Note 7 5" xfId="214"/>
    <cellStyle name="Note 8" xfId="215"/>
    <cellStyle name="Note 8 2" xfId="216"/>
    <cellStyle name="Note 8 3" xfId="217"/>
    <cellStyle name="Note 8 4" xfId="218"/>
    <cellStyle name="Note 8 5" xfId="219"/>
    <cellStyle name="Note 9" xfId="220"/>
    <cellStyle name="Note 9 2" xfId="221"/>
    <cellStyle name="Note 9 3" xfId="222"/>
    <cellStyle name="Note 9 4" xfId="223"/>
    <cellStyle name="Note 9 5" xfId="224"/>
    <cellStyle name="Output" xfId="225"/>
    <cellStyle name="Percent" xfId="226"/>
    <cellStyle name="Percent 15" xfId="227"/>
    <cellStyle name="Percent 16" xfId="228"/>
    <cellStyle name="Title" xfId="229"/>
    <cellStyle name="Total" xfId="230"/>
    <cellStyle name="Warning Text" xfId="231"/>
  </cellStyles>
  <dxfs count="3">
    <dxf>
      <font>
        <b/>
        <i val="0"/>
        <color indexed="60"/>
      </font>
      <fill>
        <patternFill>
          <bgColor indexed="29"/>
        </patternFill>
      </fill>
    </dxf>
    <dxf>
      <font>
        <b/>
        <i val="0"/>
        <color indexed="10"/>
      </font>
      <fill>
        <patternFill>
          <bgColor indexed="13"/>
        </patternFill>
      </fill>
    </dxf>
    <dxf>
      <font>
        <b/>
        <i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16</xdr:row>
      <xdr:rowOff>180975</xdr:rowOff>
    </xdr:from>
    <xdr:to>
      <xdr:col>12</xdr:col>
      <xdr:colOff>47625</xdr:colOff>
      <xdr:row>19</xdr:row>
      <xdr:rowOff>142875</xdr:rowOff>
    </xdr:to>
    <xdr:pic>
      <xdr:nvPicPr>
        <xdr:cNvPr id="1" name="PreTank"/>
        <xdr:cNvPicPr preferRelativeResize="1">
          <a:picLocks noChangeAspect="1"/>
        </xdr:cNvPicPr>
      </xdr:nvPicPr>
      <xdr:blipFill>
        <a:blip r:embed="rId1"/>
        <a:stretch>
          <a:fillRect/>
        </a:stretch>
      </xdr:blipFill>
      <xdr:spPr>
        <a:xfrm>
          <a:off x="12849225" y="3467100"/>
          <a:ext cx="1428750" cy="552450"/>
        </a:xfrm>
        <a:prstGeom prst="rect">
          <a:avLst/>
        </a:prstGeom>
        <a:noFill/>
        <a:ln w="9525" cmpd="sng">
          <a:noFill/>
        </a:ln>
      </xdr:spPr>
    </xdr:pic>
    <xdr:clientData/>
  </xdr:twoCellAnchor>
  <xdr:twoCellAnchor editAs="oneCell">
    <xdr:from>
      <xdr:col>10</xdr:col>
      <xdr:colOff>0</xdr:colOff>
      <xdr:row>20</xdr:row>
      <xdr:rowOff>0</xdr:rowOff>
    </xdr:from>
    <xdr:to>
      <xdr:col>12</xdr:col>
      <xdr:colOff>19050</xdr:colOff>
      <xdr:row>22</xdr:row>
      <xdr:rowOff>0</xdr:rowOff>
    </xdr:to>
    <xdr:pic>
      <xdr:nvPicPr>
        <xdr:cNvPr id="2" name="GoalSeekOnly"/>
        <xdr:cNvPicPr preferRelativeResize="1">
          <a:picLocks noChangeAspect="1"/>
        </xdr:cNvPicPr>
      </xdr:nvPicPr>
      <xdr:blipFill>
        <a:blip r:embed="rId2"/>
        <a:stretch>
          <a:fillRect/>
        </a:stretch>
      </xdr:blipFill>
      <xdr:spPr>
        <a:xfrm>
          <a:off x="12849225" y="4076700"/>
          <a:ext cx="1400175" cy="400050"/>
        </a:xfrm>
        <a:prstGeom prst="rect">
          <a:avLst/>
        </a:prstGeom>
        <a:noFill/>
        <a:ln w="9525" cmpd="sng">
          <a:noFill/>
        </a:ln>
      </xdr:spPr>
    </xdr:pic>
    <xdr:clientData/>
  </xdr:twoCellAnchor>
  <xdr:twoCellAnchor editAs="oneCell">
    <xdr:from>
      <xdr:col>12</xdr:col>
      <xdr:colOff>314325</xdr:colOff>
      <xdr:row>19</xdr:row>
      <xdr:rowOff>123825</xdr:rowOff>
    </xdr:from>
    <xdr:to>
      <xdr:col>14</xdr:col>
      <xdr:colOff>333375</xdr:colOff>
      <xdr:row>23</xdr:row>
      <xdr:rowOff>76200</xdr:rowOff>
    </xdr:to>
    <xdr:pic>
      <xdr:nvPicPr>
        <xdr:cNvPr id="3" name="Fairing_Density_Calc"/>
        <xdr:cNvPicPr preferRelativeResize="1">
          <a:picLocks noChangeAspect="1"/>
        </xdr:cNvPicPr>
      </xdr:nvPicPr>
      <xdr:blipFill>
        <a:blip r:embed="rId3"/>
        <a:stretch>
          <a:fillRect/>
        </a:stretch>
      </xdr:blipFill>
      <xdr:spPr>
        <a:xfrm>
          <a:off x="14544675" y="4000500"/>
          <a:ext cx="1943100"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eisenbach\Local%20Settings\Temporary%20Internet%20Files\Content.Outlook\XQ00YVX9\trim%20sheet%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
      <sheetName val="Trim"/>
      <sheetName val="Pres cal"/>
      <sheetName val="Simplfied Trim"/>
      <sheetName val="Lead Worksheet"/>
      <sheetName val="Ballast"/>
      <sheetName val="Tank _ PS notes"/>
      <sheetName val="Maint"/>
      <sheetName val="Motor Data"/>
      <sheetName val="Material"/>
      <sheetName val="sg_calib_constants"/>
      <sheetName val="CMDFI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FF00"/>
  </sheetPr>
  <dimension ref="A1:IH413"/>
  <sheetViews>
    <sheetView tabSelected="1" zoomScaleSheetLayoutView="75" zoomScalePageLayoutView="0" workbookViewId="0" topLeftCell="A1">
      <selection activeCell="H3" sqref="H3"/>
    </sheetView>
  </sheetViews>
  <sheetFormatPr defaultColWidth="8.8515625" defaultRowHeight="12.75"/>
  <cols>
    <col min="1" max="1" width="9.140625" style="628" customWidth="1"/>
    <col min="2" max="2" width="76.421875" style="605" customWidth="1"/>
    <col min="3" max="3" width="23.421875" style="605" customWidth="1"/>
    <col min="4" max="4" width="16.28125" style="651" customWidth="1"/>
    <col min="5" max="5" width="30.421875" style="628" bestFit="1" customWidth="1"/>
    <col min="6" max="6" width="9.00390625" style="628" customWidth="1"/>
    <col min="7" max="7" width="12.00390625" style="648" customWidth="1"/>
    <col min="8" max="8" width="26.7109375" style="648" customWidth="1"/>
    <col min="9" max="9" width="4.7109375" style="648" bestFit="1" customWidth="1"/>
    <col min="10" max="10" width="11.7109375" style="605" customWidth="1"/>
    <col min="11" max="11" width="8.8515625" style="605" customWidth="1"/>
    <col min="12" max="12" width="17.28125" style="605" bestFit="1" customWidth="1"/>
    <col min="13" max="13" width="12.421875" style="605" customWidth="1"/>
    <col min="14" max="254" width="8.8515625" style="605" customWidth="1"/>
    <col min="255" max="255" width="9.140625" style="605" customWidth="1"/>
    <col min="256" max="16384" width="8.8515625" style="605" customWidth="1"/>
  </cols>
  <sheetData>
    <row r="1" spans="1:10" ht="18">
      <c r="A1" s="840"/>
      <c r="B1" s="896" t="s">
        <v>159</v>
      </c>
      <c r="C1" s="897">
        <v>513</v>
      </c>
      <c r="E1" s="887" t="s">
        <v>165</v>
      </c>
      <c r="F1" s="887"/>
      <c r="G1" s="911"/>
      <c r="H1" s="119">
        <v>52260</v>
      </c>
      <c r="I1" s="913" t="s">
        <v>986</v>
      </c>
      <c r="J1" s="1021">
        <v>40428</v>
      </c>
    </row>
    <row r="2" spans="1:9" ht="18">
      <c r="A2" s="840"/>
      <c r="B2" s="651"/>
      <c r="C2" s="651"/>
      <c r="E2" s="887" t="s">
        <v>166</v>
      </c>
      <c r="F2" s="887"/>
      <c r="G2" s="911"/>
      <c r="H2" s="912">
        <f>50986-606.2</f>
        <v>50379.8</v>
      </c>
      <c r="I2" s="913" t="s">
        <v>986</v>
      </c>
    </row>
    <row r="3" spans="1:13" s="583" customFormat="1" ht="31.5">
      <c r="A3" s="652"/>
      <c r="B3" s="652" t="s">
        <v>700</v>
      </c>
      <c r="C3" s="653" t="s">
        <v>282</v>
      </c>
      <c r="D3" s="654" t="s">
        <v>283</v>
      </c>
      <c r="E3" s="655"/>
      <c r="F3" s="652" t="s">
        <v>694</v>
      </c>
      <c r="G3" s="656" t="s">
        <v>50</v>
      </c>
      <c r="H3" s="657" t="s">
        <v>833</v>
      </c>
      <c r="I3" s="581"/>
      <c r="J3" s="580"/>
      <c r="K3" s="582"/>
      <c r="L3" s="582"/>
      <c r="M3" s="582"/>
    </row>
    <row r="4" spans="1:13" s="583" customFormat="1" ht="15.75">
      <c r="A4" s="652">
        <v>0</v>
      </c>
      <c r="B4" s="653" t="s">
        <v>715</v>
      </c>
      <c r="C4" s="653">
        <v>4197060</v>
      </c>
      <c r="D4" s="655">
        <v>49801</v>
      </c>
      <c r="E4" s="655"/>
      <c r="F4" s="658"/>
      <c r="G4" s="659"/>
      <c r="H4" s="657"/>
      <c r="I4" s="581"/>
      <c r="J4" s="580"/>
      <c r="K4" s="582"/>
      <c r="L4" s="582"/>
      <c r="M4" s="582"/>
    </row>
    <row r="5" spans="1:13" s="586" customFormat="1" ht="15">
      <c r="A5" s="660">
        <v>1</v>
      </c>
      <c r="B5" s="661" t="s">
        <v>716</v>
      </c>
      <c r="C5" s="662">
        <v>4199128</v>
      </c>
      <c r="D5" s="663">
        <v>55240</v>
      </c>
      <c r="E5" s="663"/>
      <c r="F5" s="664">
        <v>1</v>
      </c>
      <c r="G5" s="665">
        <v>11.7</v>
      </c>
      <c r="H5" s="666">
        <v>12.2</v>
      </c>
      <c r="I5" s="585"/>
      <c r="K5" s="587"/>
      <c r="L5" s="587"/>
      <c r="M5" s="587"/>
    </row>
    <row r="6" spans="1:13" s="586" customFormat="1" ht="15">
      <c r="A6" s="660">
        <v>1</v>
      </c>
      <c r="B6" s="661" t="s">
        <v>863</v>
      </c>
      <c r="C6" s="662">
        <v>4199153</v>
      </c>
      <c r="D6" s="663">
        <v>55294</v>
      </c>
      <c r="E6" s="663"/>
      <c r="F6" s="664">
        <v>1</v>
      </c>
      <c r="G6" s="665">
        <v>27.3</v>
      </c>
      <c r="H6" s="666">
        <v>27.5</v>
      </c>
      <c r="I6" s="585"/>
      <c r="K6" s="587"/>
      <c r="L6" s="587"/>
      <c r="M6" s="587"/>
    </row>
    <row r="7" spans="1:13" s="589" customFormat="1" ht="16.5" thickBot="1">
      <c r="A7" s="652"/>
      <c r="B7" s="653"/>
      <c r="C7" s="653"/>
      <c r="D7" s="667"/>
      <c r="E7" s="668"/>
      <c r="F7" s="669"/>
      <c r="G7" s="670"/>
      <c r="H7" s="670"/>
      <c r="I7" s="588"/>
      <c r="K7" s="590"/>
      <c r="L7" s="590"/>
      <c r="M7" s="590"/>
    </row>
    <row r="8" spans="1:13" s="589" customFormat="1" ht="16.5" thickTop="1">
      <c r="A8" s="671">
        <v>1</v>
      </c>
      <c r="B8" s="672" t="s">
        <v>864</v>
      </c>
      <c r="C8" s="672">
        <v>4199433</v>
      </c>
      <c r="D8" s="673">
        <v>55494</v>
      </c>
      <c r="E8" s="674"/>
      <c r="F8" s="675"/>
      <c r="G8" s="676"/>
      <c r="H8" s="676"/>
      <c r="I8" s="591"/>
      <c r="K8" s="590"/>
      <c r="L8" s="590"/>
      <c r="M8" s="590"/>
    </row>
    <row r="9" spans="1:13" s="589" customFormat="1" ht="15.75">
      <c r="A9" s="652"/>
      <c r="B9" s="677"/>
      <c r="C9" s="677"/>
      <c r="D9" s="678"/>
      <c r="E9" s="680" t="s">
        <v>865</v>
      </c>
      <c r="F9" s="680"/>
      <c r="G9" s="681"/>
      <c r="H9" s="682">
        <f>SUM(H12:H14)+(F15*H15)+(F16*H16)+(F17*H17)+(F18*H18)</f>
        <v>7463.4</v>
      </c>
      <c r="I9" s="650" t="s">
        <v>986</v>
      </c>
      <c r="J9" s="557" t="s">
        <v>955</v>
      </c>
      <c r="K9" s="590"/>
      <c r="L9" s="590"/>
      <c r="M9" s="590"/>
    </row>
    <row r="10" spans="1:18" s="599" customFormat="1" ht="15.75">
      <c r="A10" s="683"/>
      <c r="B10" s="684"/>
      <c r="C10" s="684"/>
      <c r="D10" s="685"/>
      <c r="E10" s="680" t="s">
        <v>708</v>
      </c>
      <c r="F10" s="680"/>
      <c r="G10" s="910">
        <v>7558</v>
      </c>
      <c r="H10" s="790">
        <f>7205</f>
        <v>7205</v>
      </c>
      <c r="I10" s="650" t="s">
        <v>986</v>
      </c>
      <c r="J10" s="559">
        <f>H10-H9</f>
        <v>-258.39999999999964</v>
      </c>
      <c r="K10" s="581"/>
      <c r="L10" s="594"/>
      <c r="M10" s="595"/>
      <c r="N10" s="596"/>
      <c r="O10" s="597"/>
      <c r="P10" s="593"/>
      <c r="Q10" s="598"/>
      <c r="R10" s="593"/>
    </row>
    <row r="11" spans="1:18" s="599" customFormat="1" ht="15.75">
      <c r="A11" s="683">
        <v>2</v>
      </c>
      <c r="B11" s="690" t="s">
        <v>157</v>
      </c>
      <c r="C11" s="662" t="s">
        <v>158</v>
      </c>
      <c r="D11" s="685"/>
      <c r="E11" s="895"/>
      <c r="F11" s="833"/>
      <c r="G11" s="833"/>
      <c r="H11" s="833">
        <v>5952</v>
      </c>
      <c r="I11" s="585"/>
      <c r="J11" s="559"/>
      <c r="K11" s="581"/>
      <c r="L11" s="594"/>
      <c r="M11" s="595"/>
      <c r="N11" s="596"/>
      <c r="O11" s="597"/>
      <c r="P11" s="593"/>
      <c r="Q11" s="598"/>
      <c r="R11" s="593"/>
    </row>
    <row r="12" spans="1:9" s="600" customFormat="1" ht="15.75">
      <c r="A12" s="688">
        <v>2</v>
      </c>
      <c r="B12" s="661" t="s">
        <v>866</v>
      </c>
      <c r="C12" s="662">
        <v>4199347</v>
      </c>
      <c r="D12" s="663">
        <v>49897</v>
      </c>
      <c r="E12" s="688"/>
      <c r="F12" s="664">
        <v>1</v>
      </c>
      <c r="G12" s="665">
        <f>5515.4+12.1</f>
        <v>5527.5</v>
      </c>
      <c r="H12" s="682">
        <f>H11-H13</f>
        <v>5264</v>
      </c>
      <c r="I12" s="585"/>
    </row>
    <row r="13" spans="1:9" s="600" customFormat="1" ht="30">
      <c r="A13" s="688">
        <v>2</v>
      </c>
      <c r="B13" s="689" t="s">
        <v>873</v>
      </c>
      <c r="C13" s="662">
        <v>4199330</v>
      </c>
      <c r="D13" s="663">
        <v>49834</v>
      </c>
      <c r="E13" s="688"/>
      <c r="F13" s="664">
        <v>1</v>
      </c>
      <c r="G13" s="665">
        <v>688</v>
      </c>
      <c r="H13" s="682">
        <v>688</v>
      </c>
      <c r="I13" s="585"/>
    </row>
    <row r="14" spans="1:13" s="601" customFormat="1" ht="15">
      <c r="A14" s="660">
        <v>2</v>
      </c>
      <c r="B14" s="690" t="s">
        <v>874</v>
      </c>
      <c r="C14" s="662">
        <v>4199334</v>
      </c>
      <c r="D14" s="678">
        <v>49844</v>
      </c>
      <c r="E14" s="688"/>
      <c r="F14" s="664">
        <v>1</v>
      </c>
      <c r="G14" s="665">
        <v>1245</v>
      </c>
      <c r="H14" s="833">
        <v>1248.2</v>
      </c>
      <c r="I14" s="585"/>
      <c r="K14" s="584"/>
      <c r="L14" s="584"/>
      <c r="M14" s="584"/>
    </row>
    <row r="15" spans="1:13" s="601" customFormat="1" ht="15">
      <c r="A15" s="660">
        <v>2</v>
      </c>
      <c r="B15" s="690" t="s">
        <v>875</v>
      </c>
      <c r="C15" s="662">
        <v>4199426</v>
      </c>
      <c r="D15" s="678">
        <v>55448</v>
      </c>
      <c r="E15" s="688"/>
      <c r="F15" s="916">
        <f>Trim!D65</f>
        <v>1</v>
      </c>
      <c r="G15" s="665">
        <v>247.6</v>
      </c>
      <c r="H15" s="833">
        <v>247.5</v>
      </c>
      <c r="I15" s="585"/>
      <c r="K15" s="584"/>
      <c r="L15" s="584"/>
      <c r="M15" s="584"/>
    </row>
    <row r="16" spans="1:9" s="600" customFormat="1" ht="30">
      <c r="A16" s="688">
        <v>2</v>
      </c>
      <c r="B16" s="689" t="s">
        <v>249</v>
      </c>
      <c r="C16" s="692" t="s">
        <v>434</v>
      </c>
      <c r="D16" s="663" t="s">
        <v>877</v>
      </c>
      <c r="E16" s="693"/>
      <c r="F16" s="916">
        <f>Trim!D66</f>
        <v>0</v>
      </c>
      <c r="G16" s="665">
        <v>28.3</v>
      </c>
      <c r="H16" s="833">
        <v>28.3</v>
      </c>
      <c r="I16" s="585"/>
    </row>
    <row r="17" spans="1:9" s="600" customFormat="1" ht="30">
      <c r="A17" s="688">
        <v>2</v>
      </c>
      <c r="B17" s="689" t="s">
        <v>878</v>
      </c>
      <c r="C17" s="662" t="s">
        <v>286</v>
      </c>
      <c r="D17" s="663" t="s">
        <v>879</v>
      </c>
      <c r="E17" s="693"/>
      <c r="F17" s="916">
        <f>Trim!D67</f>
        <v>0</v>
      </c>
      <c r="G17" s="665">
        <v>23.2</v>
      </c>
      <c r="H17" s="833">
        <v>23.2</v>
      </c>
      <c r="I17" s="585"/>
    </row>
    <row r="18" spans="1:9" s="600" customFormat="1" ht="30">
      <c r="A18" s="688">
        <v>2</v>
      </c>
      <c r="B18" s="689" t="s">
        <v>736</v>
      </c>
      <c r="C18" s="692" t="s">
        <v>434</v>
      </c>
      <c r="D18" s="663" t="s">
        <v>737</v>
      </c>
      <c r="E18" s="693"/>
      <c r="F18" s="916">
        <f>Trim!D68</f>
        <v>1</v>
      </c>
      <c r="G18" s="665">
        <v>15.7</v>
      </c>
      <c r="H18" s="833">
        <v>15.7</v>
      </c>
      <c r="I18" s="585"/>
    </row>
    <row r="19" spans="1:10" s="600" customFormat="1" ht="15.75" thickBot="1">
      <c r="A19" s="688"/>
      <c r="B19" s="691"/>
      <c r="C19" s="691"/>
      <c r="D19" s="663"/>
      <c r="E19" s="693"/>
      <c r="F19" s="664"/>
      <c r="G19" s="665"/>
      <c r="H19" s="666"/>
      <c r="I19" s="602"/>
      <c r="J19" s="601"/>
    </row>
    <row r="20" spans="1:10" s="600" customFormat="1" ht="16.5" thickTop="1">
      <c r="A20" s="694">
        <v>1</v>
      </c>
      <c r="B20" s="695" t="s">
        <v>738</v>
      </c>
      <c r="C20" s="695"/>
      <c r="D20" s="696"/>
      <c r="E20" s="697"/>
      <c r="F20" s="698"/>
      <c r="G20" s="699"/>
      <c r="H20" s="699"/>
      <c r="I20" s="603"/>
      <c r="J20" s="601"/>
    </row>
    <row r="21" spans="1:10" s="600" customFormat="1" ht="15.75">
      <c r="A21" s="688"/>
      <c r="B21" s="677"/>
      <c r="C21" s="677"/>
      <c r="D21" s="678"/>
      <c r="E21" s="680" t="s">
        <v>865</v>
      </c>
      <c r="F21" s="680"/>
      <c r="G21" s="681"/>
      <c r="H21" s="682">
        <f>SUM(H23:H31)</f>
        <v>851.4000000000001</v>
      </c>
      <c r="I21" s="650" t="s">
        <v>986</v>
      </c>
      <c r="J21" s="557"/>
    </row>
    <row r="22" spans="1:10" s="600" customFormat="1" ht="15.75">
      <c r="A22" s="688"/>
      <c r="B22" s="684"/>
      <c r="C22" s="684"/>
      <c r="D22" s="685"/>
      <c r="E22" s="680" t="s">
        <v>708</v>
      </c>
      <c r="F22" s="680"/>
      <c r="G22" s="910"/>
      <c r="H22" s="682">
        <f>SUM(H23:H31)</f>
        <v>851.4000000000001</v>
      </c>
      <c r="I22" s="650" t="s">
        <v>986</v>
      </c>
      <c r="J22" s="559"/>
    </row>
    <row r="23" spans="1:13" s="601" customFormat="1" ht="15">
      <c r="A23" s="660">
        <v>2</v>
      </c>
      <c r="B23" s="690" t="s">
        <v>739</v>
      </c>
      <c r="C23" s="691"/>
      <c r="D23" s="678"/>
      <c r="E23" s="688"/>
      <c r="F23" s="664">
        <v>1</v>
      </c>
      <c r="G23" s="665">
        <v>1135.4</v>
      </c>
      <c r="H23" s="923">
        <f>Trim!E73</f>
        <v>718.2</v>
      </c>
      <c r="I23" s="585"/>
      <c r="K23" s="584"/>
      <c r="L23" s="584"/>
      <c r="M23" s="584"/>
    </row>
    <row r="24" spans="1:13" s="601" customFormat="1" ht="15">
      <c r="A24" s="660">
        <v>2</v>
      </c>
      <c r="B24" s="690" t="s">
        <v>742</v>
      </c>
      <c r="C24" s="691"/>
      <c r="D24" s="678"/>
      <c r="E24" s="688"/>
      <c r="F24" s="664">
        <v>0</v>
      </c>
      <c r="G24" s="665">
        <v>100</v>
      </c>
      <c r="H24" s="666"/>
      <c r="I24" s="585"/>
      <c r="J24" s="604"/>
      <c r="K24" s="584"/>
      <c r="L24" s="584"/>
      <c r="M24" s="584"/>
    </row>
    <row r="25" spans="1:13" s="601" customFormat="1" ht="15">
      <c r="A25" s="660">
        <v>2</v>
      </c>
      <c r="B25" s="690" t="s">
        <v>744</v>
      </c>
      <c r="C25" s="691"/>
      <c r="D25" s="678"/>
      <c r="E25" s="688"/>
      <c r="F25" s="664">
        <v>0</v>
      </c>
      <c r="G25" s="665">
        <v>99.8</v>
      </c>
      <c r="H25" s="666"/>
      <c r="I25" s="585"/>
      <c r="K25" s="584"/>
      <c r="L25" s="584"/>
      <c r="M25" s="584"/>
    </row>
    <row r="26" spans="1:13" s="601" customFormat="1" ht="15">
      <c r="A26" s="660">
        <v>2</v>
      </c>
      <c r="B26" s="690"/>
      <c r="C26" s="691"/>
      <c r="D26" s="678"/>
      <c r="E26" s="688"/>
      <c r="F26" s="664"/>
      <c r="G26" s="665"/>
      <c r="H26" s="666"/>
      <c r="I26" s="585"/>
      <c r="K26" s="584"/>
      <c r="L26" s="584"/>
      <c r="M26" s="584"/>
    </row>
    <row r="27" spans="1:13" s="601" customFormat="1" ht="15">
      <c r="A27" s="660">
        <v>2</v>
      </c>
      <c r="B27" s="806" t="s">
        <v>740</v>
      </c>
      <c r="C27" s="691"/>
      <c r="D27" s="678" t="s">
        <v>741</v>
      </c>
      <c r="E27" s="688"/>
      <c r="F27" s="664">
        <v>1</v>
      </c>
      <c r="G27" s="665">
        <f>172.8+12+27.6</f>
        <v>212.4</v>
      </c>
      <c r="H27" s="666">
        <v>103.2</v>
      </c>
      <c r="I27" s="585"/>
      <c r="K27" s="584"/>
      <c r="L27" s="584"/>
      <c r="M27" s="584"/>
    </row>
    <row r="28" spans="1:13" s="601" customFormat="1" ht="15.75">
      <c r="A28" s="660">
        <v>2</v>
      </c>
      <c r="B28" s="690" t="s">
        <v>640</v>
      </c>
      <c r="C28" s="691"/>
      <c r="D28" s="678" t="s">
        <v>741</v>
      </c>
      <c r="E28" s="688"/>
      <c r="F28" s="664">
        <v>1</v>
      </c>
      <c r="G28" s="665">
        <v>14.8</v>
      </c>
      <c r="H28" s="666">
        <v>30</v>
      </c>
      <c r="I28" s="585"/>
      <c r="J28" s="589"/>
      <c r="K28" s="584"/>
      <c r="L28" s="584"/>
      <c r="M28" s="584"/>
    </row>
    <row r="29" spans="1:242" ht="15.75">
      <c r="A29" s="700">
        <v>2</v>
      </c>
      <c r="B29" s="690" t="s">
        <v>534</v>
      </c>
      <c r="C29" s="691"/>
      <c r="D29" s="678"/>
      <c r="E29" s="688"/>
      <c r="F29" s="664">
        <v>0</v>
      </c>
      <c r="G29" s="665">
        <v>0</v>
      </c>
      <c r="H29" s="666"/>
      <c r="I29" s="585"/>
      <c r="J29" s="589"/>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4"/>
      <c r="BN29" s="604"/>
      <c r="BO29" s="604"/>
      <c r="BP29" s="604"/>
      <c r="BQ29" s="604"/>
      <c r="BR29" s="604"/>
      <c r="BS29" s="604"/>
      <c r="BT29" s="604"/>
      <c r="BU29" s="604"/>
      <c r="BV29" s="604"/>
      <c r="BW29" s="604"/>
      <c r="BX29" s="604"/>
      <c r="BY29" s="604"/>
      <c r="BZ29" s="604"/>
      <c r="CA29" s="604"/>
      <c r="CB29" s="604"/>
      <c r="CC29" s="604"/>
      <c r="CD29" s="604"/>
      <c r="CE29" s="604"/>
      <c r="CF29" s="604"/>
      <c r="CG29" s="604"/>
      <c r="CH29" s="604"/>
      <c r="CI29" s="604"/>
      <c r="CJ29" s="604"/>
      <c r="CK29" s="604"/>
      <c r="CL29" s="604"/>
      <c r="CM29" s="604"/>
      <c r="CN29" s="604"/>
      <c r="CO29" s="604"/>
      <c r="CP29" s="604"/>
      <c r="CQ29" s="604"/>
      <c r="CR29" s="604"/>
      <c r="CS29" s="604"/>
      <c r="CT29" s="604"/>
      <c r="CU29" s="604"/>
      <c r="CV29" s="604"/>
      <c r="CW29" s="604"/>
      <c r="CX29" s="604"/>
      <c r="CY29" s="604"/>
      <c r="CZ29" s="604"/>
      <c r="DA29" s="604"/>
      <c r="DB29" s="604"/>
      <c r="DC29" s="604"/>
      <c r="DD29" s="604"/>
      <c r="DE29" s="604"/>
      <c r="DF29" s="604"/>
      <c r="DG29" s="604"/>
      <c r="DH29" s="604"/>
      <c r="DI29" s="604"/>
      <c r="DJ29" s="604"/>
      <c r="DK29" s="604"/>
      <c r="DL29" s="604"/>
      <c r="DM29" s="604"/>
      <c r="DN29" s="604"/>
      <c r="DO29" s="604"/>
      <c r="DP29" s="604"/>
      <c r="DQ29" s="604"/>
      <c r="DR29" s="604"/>
      <c r="DS29" s="604"/>
      <c r="DT29" s="604"/>
      <c r="DU29" s="604"/>
      <c r="DV29" s="604"/>
      <c r="DW29" s="604"/>
      <c r="DX29" s="604"/>
      <c r="DY29" s="604"/>
      <c r="DZ29" s="604"/>
      <c r="EA29" s="604"/>
      <c r="EB29" s="604"/>
      <c r="EC29" s="604"/>
      <c r="ED29" s="604"/>
      <c r="EE29" s="604"/>
      <c r="EF29" s="604"/>
      <c r="EG29" s="604"/>
      <c r="EH29" s="604"/>
      <c r="EI29" s="604"/>
      <c r="EJ29" s="604"/>
      <c r="EK29" s="604"/>
      <c r="EL29" s="604"/>
      <c r="EM29" s="604"/>
      <c r="EN29" s="604"/>
      <c r="EO29" s="604"/>
      <c r="EP29" s="604"/>
      <c r="EQ29" s="604"/>
      <c r="ER29" s="604"/>
      <c r="ES29" s="604"/>
      <c r="ET29" s="604"/>
      <c r="EU29" s="604"/>
      <c r="EV29" s="604"/>
      <c r="EW29" s="604"/>
      <c r="EX29" s="604"/>
      <c r="EY29" s="604"/>
      <c r="EZ29" s="604"/>
      <c r="FA29" s="604"/>
      <c r="FB29" s="604"/>
      <c r="FC29" s="604"/>
      <c r="FD29" s="604"/>
      <c r="FE29" s="604"/>
      <c r="FF29" s="604"/>
      <c r="FG29" s="604"/>
      <c r="FH29" s="604"/>
      <c r="FI29" s="604"/>
      <c r="FJ29" s="604"/>
      <c r="FK29" s="604"/>
      <c r="FL29" s="604"/>
      <c r="FM29" s="604"/>
      <c r="FN29" s="604"/>
      <c r="FO29" s="604"/>
      <c r="FP29" s="604"/>
      <c r="FQ29" s="604"/>
      <c r="FR29" s="604"/>
      <c r="FS29" s="604"/>
      <c r="FT29" s="604"/>
      <c r="FU29" s="604"/>
      <c r="FV29" s="604"/>
      <c r="FW29" s="604"/>
      <c r="FX29" s="604"/>
      <c r="FY29" s="604"/>
      <c r="FZ29" s="604"/>
      <c r="GA29" s="604"/>
      <c r="GB29" s="604"/>
      <c r="GC29" s="604"/>
      <c r="GD29" s="604"/>
      <c r="GE29" s="604"/>
      <c r="GF29" s="604"/>
      <c r="GG29" s="604"/>
      <c r="GH29" s="604"/>
      <c r="GI29" s="604"/>
      <c r="GJ29" s="604"/>
      <c r="GK29" s="604"/>
      <c r="GL29" s="604"/>
      <c r="GM29" s="604"/>
      <c r="GN29" s="604"/>
      <c r="GO29" s="604"/>
      <c r="GP29" s="604"/>
      <c r="GQ29" s="604"/>
      <c r="GR29" s="604"/>
      <c r="GS29" s="604"/>
      <c r="GT29" s="604"/>
      <c r="GU29" s="604"/>
      <c r="GV29" s="604"/>
      <c r="GW29" s="604"/>
      <c r="GX29" s="604"/>
      <c r="GY29" s="604"/>
      <c r="GZ29" s="604"/>
      <c r="HA29" s="604"/>
      <c r="HB29" s="604"/>
      <c r="HC29" s="604"/>
      <c r="HD29" s="604"/>
      <c r="HE29" s="604"/>
      <c r="HF29" s="604"/>
      <c r="HG29" s="604"/>
      <c r="HH29" s="604"/>
      <c r="HI29" s="604"/>
      <c r="HJ29" s="604"/>
      <c r="HK29" s="604"/>
      <c r="HL29" s="604"/>
      <c r="HM29" s="604"/>
      <c r="HN29" s="604"/>
      <c r="HO29" s="604"/>
      <c r="HP29" s="604"/>
      <c r="HQ29" s="604"/>
      <c r="HR29" s="604"/>
      <c r="HS29" s="604"/>
      <c r="HT29" s="604"/>
      <c r="HU29" s="604"/>
      <c r="HV29" s="604"/>
      <c r="HW29" s="604"/>
      <c r="HX29" s="604"/>
      <c r="HY29" s="604"/>
      <c r="HZ29" s="604"/>
      <c r="IA29" s="604"/>
      <c r="IB29" s="604"/>
      <c r="IC29" s="604"/>
      <c r="ID29" s="604"/>
      <c r="IE29" s="604"/>
      <c r="IF29" s="604"/>
      <c r="IG29" s="604"/>
      <c r="IH29" s="604"/>
    </row>
    <row r="30" spans="1:13" s="601" customFormat="1" ht="15">
      <c r="A30" s="660">
        <v>2</v>
      </c>
      <c r="B30" s="690" t="s">
        <v>758</v>
      </c>
      <c r="C30" s="691"/>
      <c r="D30" s="678" t="s">
        <v>741</v>
      </c>
      <c r="E30" s="688"/>
      <c r="F30" s="664">
        <v>0</v>
      </c>
      <c r="G30" s="665">
        <v>0</v>
      </c>
      <c r="H30" s="666"/>
      <c r="I30" s="585"/>
      <c r="J30" s="604"/>
      <c r="K30" s="584"/>
      <c r="L30" s="584"/>
      <c r="M30" s="584"/>
    </row>
    <row r="31" spans="1:13" s="601" customFormat="1" ht="15">
      <c r="A31" s="660">
        <v>2</v>
      </c>
      <c r="B31" s="690" t="s">
        <v>759</v>
      </c>
      <c r="C31" s="691"/>
      <c r="D31" s="678" t="s">
        <v>741</v>
      </c>
      <c r="E31" s="688"/>
      <c r="F31" s="664">
        <v>0</v>
      </c>
      <c r="G31" s="665">
        <v>0</v>
      </c>
      <c r="H31" s="666"/>
      <c r="I31" s="585"/>
      <c r="K31" s="584"/>
      <c r="L31" s="584"/>
      <c r="M31" s="584"/>
    </row>
    <row r="32" spans="1:13" s="601" customFormat="1" ht="16.5" thickBot="1">
      <c r="A32" s="660"/>
      <c r="B32" s="701"/>
      <c r="C32" s="701"/>
      <c r="D32" s="702"/>
      <c r="E32" s="703"/>
      <c r="F32" s="666"/>
      <c r="G32" s="704"/>
      <c r="H32" s="670"/>
      <c r="I32" s="606"/>
      <c r="J32" s="584"/>
      <c r="K32" s="584"/>
      <c r="L32" s="584"/>
      <c r="M32" s="584"/>
    </row>
    <row r="33" spans="1:13" s="589" customFormat="1" ht="16.5" thickTop="1">
      <c r="A33" s="671">
        <v>1</v>
      </c>
      <c r="B33" s="672" t="s">
        <v>762</v>
      </c>
      <c r="C33" s="672">
        <v>4199434</v>
      </c>
      <c r="D33" s="705">
        <v>55497</v>
      </c>
      <c r="E33" s="671"/>
      <c r="F33" s="675"/>
      <c r="G33" s="706"/>
      <c r="H33" s="706"/>
      <c r="I33" s="607"/>
      <c r="J33" s="586"/>
      <c r="K33" s="590"/>
      <c r="L33" s="590"/>
      <c r="M33" s="590"/>
    </row>
    <row r="34" spans="1:13" s="589" customFormat="1" ht="15.75">
      <c r="A34" s="652"/>
      <c r="B34" s="677"/>
      <c r="C34" s="677"/>
      <c r="D34" s="707"/>
      <c r="E34" s="680" t="s">
        <v>865</v>
      </c>
      <c r="F34" s="680"/>
      <c r="G34" s="681"/>
      <c r="H34" s="682">
        <f>SUM(H36:H46,H51,H57,H63,H72,H79)</f>
        <v>4610.1</v>
      </c>
      <c r="I34" s="650" t="s">
        <v>986</v>
      </c>
      <c r="J34" s="557" t="s">
        <v>955</v>
      </c>
      <c r="K34" s="590"/>
      <c r="L34" s="590"/>
      <c r="M34" s="590"/>
    </row>
    <row r="35" spans="1:18" s="589" customFormat="1" ht="15.75">
      <c r="A35" s="652"/>
      <c r="B35" s="677"/>
      <c r="C35" s="677"/>
      <c r="D35" s="685"/>
      <c r="E35" s="680" t="s">
        <v>708</v>
      </c>
      <c r="F35" s="680"/>
      <c r="G35" s="910">
        <v>5073</v>
      </c>
      <c r="H35" s="792">
        <f>5200.4-606.2-1</f>
        <v>4593.2</v>
      </c>
      <c r="I35" s="650" t="s">
        <v>986</v>
      </c>
      <c r="J35" s="559">
        <f>H35-H34</f>
        <v>-16.900000000000546</v>
      </c>
      <c r="K35" s="604"/>
      <c r="L35" s="604"/>
      <c r="M35" s="604"/>
      <c r="N35" s="604"/>
      <c r="O35" s="604"/>
      <c r="P35" s="604"/>
      <c r="Q35" s="604"/>
      <c r="R35" s="604"/>
    </row>
    <row r="36" spans="1:13" s="601" customFormat="1" ht="15">
      <c r="A36" s="660">
        <v>2</v>
      </c>
      <c r="B36" s="661" t="s">
        <v>250</v>
      </c>
      <c r="C36" s="662">
        <v>4199495</v>
      </c>
      <c r="D36" s="663">
        <v>56972</v>
      </c>
      <c r="E36" s="693"/>
      <c r="F36" s="664">
        <v>1</v>
      </c>
      <c r="G36" s="665">
        <v>1963</v>
      </c>
      <c r="H36" s="833">
        <v>2062</v>
      </c>
      <c r="I36" s="585"/>
      <c r="K36" s="584"/>
      <c r="L36" s="609"/>
      <c r="M36" s="584"/>
    </row>
    <row r="37" spans="1:13" s="601" customFormat="1" ht="15">
      <c r="A37" s="660">
        <v>2</v>
      </c>
      <c r="B37" s="806" t="s">
        <v>642</v>
      </c>
      <c r="C37" s="806">
        <v>4199438</v>
      </c>
      <c r="D37" s="872">
        <v>56751</v>
      </c>
      <c r="E37" s="813"/>
      <c r="F37" s="813">
        <v>1</v>
      </c>
      <c r="G37" s="871">
        <v>681</v>
      </c>
      <c r="H37" s="833">
        <v>686</v>
      </c>
      <c r="I37" s="585"/>
      <c r="K37" s="584"/>
      <c r="L37" s="609"/>
      <c r="M37" s="584"/>
    </row>
    <row r="38" spans="1:13" s="601" customFormat="1" ht="15">
      <c r="A38" s="660">
        <v>2</v>
      </c>
      <c r="B38" s="806" t="s">
        <v>643</v>
      </c>
      <c r="C38" s="804"/>
      <c r="D38" s="872">
        <v>49838</v>
      </c>
      <c r="E38" s="813"/>
      <c r="F38" s="813">
        <v>0</v>
      </c>
      <c r="G38" s="871"/>
      <c r="H38" s="833"/>
      <c r="I38" s="585"/>
      <c r="K38" s="584"/>
      <c r="L38" s="609"/>
      <c r="M38" s="584"/>
    </row>
    <row r="39" spans="1:10" s="584" customFormat="1" ht="15">
      <c r="A39" s="660">
        <v>2</v>
      </c>
      <c r="B39" s="806" t="s">
        <v>644</v>
      </c>
      <c r="C39" s="806">
        <v>4199438</v>
      </c>
      <c r="D39" s="872">
        <v>56751</v>
      </c>
      <c r="E39" s="813"/>
      <c r="F39" s="813">
        <v>1</v>
      </c>
      <c r="G39" s="871">
        <v>681</v>
      </c>
      <c r="H39" s="833">
        <v>697</v>
      </c>
      <c r="I39" s="585"/>
      <c r="J39" s="601"/>
    </row>
    <row r="40" spans="1:10" s="584" customFormat="1" ht="15">
      <c r="A40" s="660">
        <v>2</v>
      </c>
      <c r="B40" s="806" t="s">
        <v>645</v>
      </c>
      <c r="C40" s="804"/>
      <c r="D40" s="872">
        <v>49838</v>
      </c>
      <c r="E40" s="813"/>
      <c r="F40" s="813">
        <v>0</v>
      </c>
      <c r="G40" s="871"/>
      <c r="H40" s="833"/>
      <c r="I40" s="585"/>
      <c r="J40" s="610"/>
    </row>
    <row r="41" spans="1:13" s="586" customFormat="1" ht="15.75">
      <c r="A41" s="660">
        <v>2</v>
      </c>
      <c r="B41" s="661" t="s">
        <v>251</v>
      </c>
      <c r="C41" s="662">
        <v>4199270</v>
      </c>
      <c r="D41" s="663">
        <v>56912</v>
      </c>
      <c r="E41" s="693"/>
      <c r="F41" s="664">
        <v>1</v>
      </c>
      <c r="G41" s="665">
        <v>8.8</v>
      </c>
      <c r="H41" s="833">
        <v>11.2</v>
      </c>
      <c r="I41" s="585"/>
      <c r="J41" s="589"/>
      <c r="K41" s="587"/>
      <c r="L41" s="587"/>
      <c r="M41" s="587"/>
    </row>
    <row r="42" spans="1:13" s="601" customFormat="1" ht="15.75">
      <c r="A42" s="660">
        <v>2</v>
      </c>
      <c r="B42" s="690" t="s">
        <v>647</v>
      </c>
      <c r="C42" s="662">
        <v>4199331</v>
      </c>
      <c r="D42" s="663">
        <v>49839</v>
      </c>
      <c r="E42" s="693"/>
      <c r="F42" s="664">
        <v>1</v>
      </c>
      <c r="G42" s="665">
        <v>120.2</v>
      </c>
      <c r="H42" s="833">
        <v>120</v>
      </c>
      <c r="I42" s="585"/>
      <c r="J42" s="589"/>
      <c r="K42" s="584"/>
      <c r="L42" s="584"/>
      <c r="M42" s="584"/>
    </row>
    <row r="43" spans="1:13" s="601" customFormat="1" ht="15">
      <c r="A43" s="660">
        <v>2</v>
      </c>
      <c r="B43" s="689" t="s">
        <v>648</v>
      </c>
      <c r="C43" s="662">
        <v>4199237</v>
      </c>
      <c r="D43" s="708">
        <v>55487</v>
      </c>
      <c r="E43" s="709"/>
      <c r="F43" s="664">
        <v>1</v>
      </c>
      <c r="G43" s="665">
        <v>20.3</v>
      </c>
      <c r="H43" s="833">
        <v>20.3</v>
      </c>
      <c r="I43" s="585"/>
      <c r="J43" s="604"/>
      <c r="K43" s="584"/>
      <c r="L43" s="584"/>
      <c r="M43" s="584"/>
    </row>
    <row r="44" spans="1:13" s="601" customFormat="1" ht="15">
      <c r="A44" s="660">
        <v>2</v>
      </c>
      <c r="B44" s="690" t="s">
        <v>649</v>
      </c>
      <c r="C44" s="662">
        <v>4199496</v>
      </c>
      <c r="D44" s="678">
        <v>57651</v>
      </c>
      <c r="E44" s="688"/>
      <c r="F44" s="664">
        <v>1</v>
      </c>
      <c r="G44" s="665">
        <v>221</v>
      </c>
      <c r="H44" s="833">
        <v>226</v>
      </c>
      <c r="I44" s="585"/>
      <c r="K44" s="584"/>
      <c r="L44" s="585"/>
      <c r="M44" s="584"/>
    </row>
    <row r="45" spans="1:13" s="601" customFormat="1" ht="15">
      <c r="A45" s="660">
        <v>2</v>
      </c>
      <c r="B45" s="690" t="s">
        <v>650</v>
      </c>
      <c r="C45" s="662">
        <v>4199496</v>
      </c>
      <c r="D45" s="678">
        <v>57651</v>
      </c>
      <c r="E45" s="688"/>
      <c r="F45" s="664">
        <v>1</v>
      </c>
      <c r="G45" s="665">
        <v>206.8</v>
      </c>
      <c r="H45" s="833">
        <v>230</v>
      </c>
      <c r="I45" s="585"/>
      <c r="J45" s="584"/>
      <c r="K45" s="584"/>
      <c r="L45" s="585"/>
      <c r="M45" s="584"/>
    </row>
    <row r="46" spans="1:13" s="610" customFormat="1" ht="15.75">
      <c r="A46" s="660">
        <v>2</v>
      </c>
      <c r="B46" s="690" t="s">
        <v>651</v>
      </c>
      <c r="C46" s="662">
        <v>4199270</v>
      </c>
      <c r="D46" s="678">
        <v>56912</v>
      </c>
      <c r="E46" s="688"/>
      <c r="F46" s="664">
        <v>1</v>
      </c>
      <c r="G46" s="665">
        <v>17.6</v>
      </c>
      <c r="H46" s="833">
        <v>12.6</v>
      </c>
      <c r="I46" s="585"/>
      <c r="J46" s="592"/>
      <c r="K46" s="611"/>
      <c r="L46" s="611"/>
      <c r="M46" s="611"/>
    </row>
    <row r="47" spans="1:13" s="589" customFormat="1" ht="15.75">
      <c r="A47" s="660"/>
      <c r="B47" s="691"/>
      <c r="C47" s="710"/>
      <c r="D47" s="678"/>
      <c r="E47" s="688"/>
      <c r="F47" s="664"/>
      <c r="G47" s="665"/>
      <c r="H47" s="833"/>
      <c r="I47" s="585"/>
      <c r="J47" s="592"/>
      <c r="K47" s="590"/>
      <c r="L47" s="590"/>
      <c r="M47" s="590"/>
    </row>
    <row r="48" spans="1:13" s="589" customFormat="1" ht="15.75">
      <c r="A48" s="660"/>
      <c r="B48" s="691"/>
      <c r="C48" s="710"/>
      <c r="D48" s="678"/>
      <c r="E48" s="688"/>
      <c r="F48" s="664"/>
      <c r="G48" s="665"/>
      <c r="H48" s="833"/>
      <c r="I48" s="585"/>
      <c r="J48" s="592"/>
      <c r="K48" s="590"/>
      <c r="L48" s="590"/>
      <c r="M48" s="590"/>
    </row>
    <row r="49" spans="1:18" s="599" customFormat="1" ht="15.75">
      <c r="A49" s="711"/>
      <c r="B49" s="712"/>
      <c r="C49" s="712"/>
      <c r="D49" s="707"/>
      <c r="E49" s="700"/>
      <c r="F49" s="713"/>
      <c r="G49" s="665"/>
      <c r="H49" s="666"/>
      <c r="I49" s="585"/>
      <c r="J49" s="592"/>
      <c r="K49" s="604"/>
      <c r="L49" s="604"/>
      <c r="M49" s="604"/>
      <c r="N49" s="604"/>
      <c r="O49" s="604"/>
      <c r="P49" s="604"/>
      <c r="Q49" s="604"/>
      <c r="R49" s="604"/>
    </row>
    <row r="50" spans="1:13" s="601" customFormat="1" ht="15.75">
      <c r="A50" s="671">
        <v>2</v>
      </c>
      <c r="B50" s="672" t="s">
        <v>652</v>
      </c>
      <c r="C50" s="672">
        <v>4199332</v>
      </c>
      <c r="D50" s="705">
        <v>49841</v>
      </c>
      <c r="E50" s="671"/>
      <c r="F50" s="675"/>
      <c r="G50" s="706"/>
      <c r="H50" s="706"/>
      <c r="I50" s="607"/>
      <c r="J50" s="592"/>
      <c r="K50" s="584"/>
      <c r="L50" s="584"/>
      <c r="M50" s="584"/>
    </row>
    <row r="51" spans="1:13" s="601" customFormat="1" ht="15.75">
      <c r="A51" s="652"/>
      <c r="B51" s="677"/>
      <c r="C51" s="677"/>
      <c r="D51" s="707"/>
      <c r="E51" s="680" t="s">
        <v>865</v>
      </c>
      <c r="F51" s="680"/>
      <c r="G51" s="681"/>
      <c r="H51" s="682">
        <f>H53</f>
        <v>545</v>
      </c>
      <c r="I51" s="650" t="s">
        <v>986</v>
      </c>
      <c r="J51" s="557"/>
      <c r="K51" s="584"/>
      <c r="L51" s="584"/>
      <c r="M51" s="584"/>
    </row>
    <row r="52" spans="1:13" s="592" customFormat="1" ht="15.75">
      <c r="A52" s="683"/>
      <c r="B52" s="684"/>
      <c r="C52" s="684"/>
      <c r="D52" s="685"/>
      <c r="E52" s="680" t="s">
        <v>708</v>
      </c>
      <c r="F52" s="680"/>
      <c r="G52" s="909">
        <v>476.5</v>
      </c>
      <c r="H52" s="687">
        <f>H53</f>
        <v>545</v>
      </c>
      <c r="I52" s="650" t="s">
        <v>986</v>
      </c>
      <c r="J52" s="559"/>
      <c r="K52" s="612"/>
      <c r="L52" s="612"/>
      <c r="M52" s="612"/>
    </row>
    <row r="53" spans="1:11" s="592" customFormat="1" ht="90">
      <c r="A53" s="660">
        <v>3</v>
      </c>
      <c r="B53" s="714" t="s">
        <v>0</v>
      </c>
      <c r="C53" s="715" t="s">
        <v>436</v>
      </c>
      <c r="D53" s="716" t="s">
        <v>301</v>
      </c>
      <c r="E53" s="717"/>
      <c r="F53" s="664">
        <v>1</v>
      </c>
      <c r="G53" s="665">
        <v>280.7</v>
      </c>
      <c r="H53" s="833">
        <v>545</v>
      </c>
      <c r="I53" s="585"/>
      <c r="J53" s="589"/>
      <c r="K53" s="612"/>
    </row>
    <row r="54" spans="1:13" s="589" customFormat="1" ht="15.75">
      <c r="A54" s="660"/>
      <c r="B54" s="653"/>
      <c r="C54" s="718"/>
      <c r="D54" s="716"/>
      <c r="E54" s="842" t="s">
        <v>1</v>
      </c>
      <c r="F54" s="843"/>
      <c r="G54" s="844"/>
      <c r="H54" s="845" t="s">
        <v>104</v>
      </c>
      <c r="I54" s="585"/>
      <c r="J54" s="604"/>
      <c r="K54" s="590"/>
      <c r="L54" s="590"/>
      <c r="M54" s="590"/>
    </row>
    <row r="55" spans="1:18" s="599" customFormat="1" ht="15.75">
      <c r="A55" s="660"/>
      <c r="B55" s="690"/>
      <c r="C55" s="690"/>
      <c r="D55" s="663"/>
      <c r="E55" s="660"/>
      <c r="F55" s="664"/>
      <c r="G55" s="665"/>
      <c r="H55" s="719"/>
      <c r="I55" s="613"/>
      <c r="J55" s="586"/>
      <c r="K55" s="604"/>
      <c r="L55" s="604"/>
      <c r="M55" s="604"/>
      <c r="N55" s="604"/>
      <c r="O55" s="604"/>
      <c r="P55" s="604"/>
      <c r="Q55" s="604"/>
      <c r="R55" s="604"/>
    </row>
    <row r="56" spans="1:13" s="586" customFormat="1" ht="15.75">
      <c r="A56" s="671">
        <v>2</v>
      </c>
      <c r="B56" s="672" t="s">
        <v>795</v>
      </c>
      <c r="C56" s="672">
        <v>4196239</v>
      </c>
      <c r="D56" s="705">
        <v>55481</v>
      </c>
      <c r="E56" s="671"/>
      <c r="F56" s="698"/>
      <c r="G56" s="699"/>
      <c r="H56" s="699"/>
      <c r="I56" s="614"/>
      <c r="K56" s="587"/>
      <c r="L56" s="587"/>
      <c r="M56" s="587"/>
    </row>
    <row r="57" spans="1:13" s="586" customFormat="1" ht="15.75">
      <c r="A57" s="652"/>
      <c r="B57" s="684"/>
      <c r="C57" s="684"/>
      <c r="D57" s="663"/>
      <c r="E57" s="680" t="s">
        <v>865</v>
      </c>
      <c r="F57" s="680"/>
      <c r="G57" s="681"/>
      <c r="H57" s="682">
        <f>H59</f>
        <v>0</v>
      </c>
      <c r="I57" s="650" t="s">
        <v>986</v>
      </c>
      <c r="J57" s="557"/>
      <c r="K57" s="587"/>
      <c r="L57" s="587"/>
      <c r="M57" s="587"/>
    </row>
    <row r="58" spans="1:13" s="586" customFormat="1" ht="15.75">
      <c r="A58" s="683"/>
      <c r="B58" s="684"/>
      <c r="C58" s="684"/>
      <c r="D58" s="685"/>
      <c r="E58" s="680" t="s">
        <v>708</v>
      </c>
      <c r="F58" s="680"/>
      <c r="G58" s="909">
        <v>338.1</v>
      </c>
      <c r="H58" s="687">
        <v>0</v>
      </c>
      <c r="I58" s="650" t="s">
        <v>986</v>
      </c>
      <c r="J58" s="559"/>
      <c r="K58" s="587"/>
      <c r="L58" s="587"/>
      <c r="M58" s="587"/>
    </row>
    <row r="59" spans="1:13" s="592" customFormat="1" ht="60">
      <c r="A59" s="660">
        <v>3</v>
      </c>
      <c r="B59" s="689" t="s">
        <v>796</v>
      </c>
      <c r="C59" s="715" t="s">
        <v>302</v>
      </c>
      <c r="D59" s="720" t="s">
        <v>435</v>
      </c>
      <c r="E59" s="721"/>
      <c r="F59" s="664">
        <v>0</v>
      </c>
      <c r="G59" s="815">
        <v>433</v>
      </c>
      <c r="H59" s="833"/>
      <c r="I59" s="585"/>
      <c r="J59" s="589"/>
      <c r="K59" s="612"/>
      <c r="L59" s="612"/>
      <c r="M59" s="612"/>
    </row>
    <row r="60" spans="1:13" s="589" customFormat="1" ht="15.75">
      <c r="A60" s="660"/>
      <c r="B60" s="653"/>
      <c r="C60" s="679"/>
      <c r="D60" s="663"/>
      <c r="E60" s="842" t="s">
        <v>2</v>
      </c>
      <c r="F60" s="843"/>
      <c r="G60" s="844"/>
      <c r="H60" s="845"/>
      <c r="I60" s="615"/>
      <c r="J60" s="604"/>
      <c r="K60" s="590"/>
      <c r="L60" s="590"/>
      <c r="M60" s="590"/>
    </row>
    <row r="61" spans="1:18" s="599" customFormat="1" ht="15.75">
      <c r="A61" s="660"/>
      <c r="B61" s="690"/>
      <c r="C61" s="690"/>
      <c r="D61" s="663"/>
      <c r="E61" s="663"/>
      <c r="F61" s="664"/>
      <c r="G61" s="665"/>
      <c r="H61" s="665"/>
      <c r="I61" s="585"/>
      <c r="J61" s="586"/>
      <c r="K61" s="604"/>
      <c r="L61" s="604"/>
      <c r="M61" s="604"/>
      <c r="N61" s="604"/>
      <c r="O61" s="604"/>
      <c r="P61" s="604"/>
      <c r="Q61" s="604"/>
      <c r="R61" s="604"/>
    </row>
    <row r="62" spans="1:13" s="586" customFormat="1" ht="15.75">
      <c r="A62" s="671">
        <v>2</v>
      </c>
      <c r="B62" s="672" t="s">
        <v>797</v>
      </c>
      <c r="C62" s="672">
        <v>4192455</v>
      </c>
      <c r="D62" s="705">
        <v>55482</v>
      </c>
      <c r="E62" s="671"/>
      <c r="F62" s="698"/>
      <c r="G62" s="699"/>
      <c r="H62" s="699"/>
      <c r="I62" s="614"/>
      <c r="K62" s="587"/>
      <c r="L62" s="587"/>
      <c r="M62" s="587"/>
    </row>
    <row r="63" spans="1:13" s="586" customFormat="1" ht="15.75">
      <c r="A63" s="652"/>
      <c r="B63" s="684"/>
      <c r="C63" s="684"/>
      <c r="D63" s="663"/>
      <c r="E63" s="680" t="s">
        <v>865</v>
      </c>
      <c r="F63" s="680"/>
      <c r="G63" s="681"/>
      <c r="H63" s="682">
        <f>SUM(H65,H68:H69)</f>
        <v>0</v>
      </c>
      <c r="I63" s="650" t="s">
        <v>986</v>
      </c>
      <c r="J63" s="557"/>
      <c r="K63" s="587"/>
      <c r="L63" s="587"/>
      <c r="M63" s="587"/>
    </row>
    <row r="64" spans="1:13" s="586" customFormat="1" ht="15.75">
      <c r="A64" s="683"/>
      <c r="B64" s="684"/>
      <c r="C64" s="684"/>
      <c r="D64" s="685"/>
      <c r="E64" s="680" t="s">
        <v>708</v>
      </c>
      <c r="F64" s="680"/>
      <c r="G64" s="686"/>
      <c r="H64" s="687"/>
      <c r="I64" s="650" t="s">
        <v>986</v>
      </c>
      <c r="J64" s="559"/>
      <c r="K64" s="587"/>
      <c r="L64" s="587"/>
      <c r="M64" s="587"/>
    </row>
    <row r="65" spans="1:13" s="592" customFormat="1" ht="60">
      <c r="A65" s="660">
        <v>3</v>
      </c>
      <c r="B65" s="689" t="s">
        <v>3</v>
      </c>
      <c r="C65" s="715" t="s">
        <v>303</v>
      </c>
      <c r="D65" s="720" t="s">
        <v>171</v>
      </c>
      <c r="E65" s="721"/>
      <c r="F65" s="664">
        <v>0</v>
      </c>
      <c r="G65" s="665">
        <v>308.3</v>
      </c>
      <c r="H65" s="666"/>
      <c r="I65" s="585"/>
      <c r="K65" s="612"/>
      <c r="L65" s="612"/>
      <c r="M65" s="612"/>
    </row>
    <row r="66" spans="1:13" s="592" customFormat="1" ht="15.75">
      <c r="A66" s="660"/>
      <c r="B66" s="683"/>
      <c r="C66" s="679"/>
      <c r="D66" s="720"/>
      <c r="E66" s="842" t="s">
        <v>4</v>
      </c>
      <c r="F66" s="843"/>
      <c r="G66" s="844"/>
      <c r="H66" s="845"/>
      <c r="I66" s="585"/>
      <c r="J66" s="589"/>
      <c r="K66" s="612"/>
      <c r="L66" s="612"/>
      <c r="M66" s="612"/>
    </row>
    <row r="67" spans="1:13" s="592" customFormat="1" ht="15.75">
      <c r="A67" s="660"/>
      <c r="B67" s="683"/>
      <c r="C67" s="679"/>
      <c r="D67" s="720"/>
      <c r="E67" s="842" t="s">
        <v>169</v>
      </c>
      <c r="F67" s="843"/>
      <c r="G67" s="844"/>
      <c r="H67" s="845"/>
      <c r="I67" s="585"/>
      <c r="J67" s="589"/>
      <c r="K67" s="612"/>
      <c r="L67" s="612"/>
      <c r="M67" s="612"/>
    </row>
    <row r="68" spans="1:13" s="592" customFormat="1" ht="15.75">
      <c r="A68" s="660">
        <v>3</v>
      </c>
      <c r="B68" s="690" t="s">
        <v>801</v>
      </c>
      <c r="C68" s="662">
        <v>4199353</v>
      </c>
      <c r="D68" s="663">
        <v>52236</v>
      </c>
      <c r="E68" s="663"/>
      <c r="F68" s="664">
        <v>0</v>
      </c>
      <c r="G68" s="665">
        <v>59.1</v>
      </c>
      <c r="H68" s="666"/>
      <c r="I68" s="585"/>
      <c r="J68" s="604"/>
      <c r="K68" s="612"/>
      <c r="L68" s="612"/>
      <c r="M68" s="612"/>
    </row>
    <row r="69" spans="1:13" s="589" customFormat="1" ht="15.75">
      <c r="A69" s="660">
        <v>3</v>
      </c>
      <c r="B69" s="690" t="s">
        <v>802</v>
      </c>
      <c r="C69" s="662">
        <v>4199435</v>
      </c>
      <c r="D69" s="663">
        <v>55518</v>
      </c>
      <c r="E69" s="660"/>
      <c r="F69" s="664">
        <v>0</v>
      </c>
      <c r="G69" s="665" t="s">
        <v>655</v>
      </c>
      <c r="H69" s="925"/>
      <c r="I69" s="613"/>
      <c r="J69" s="586"/>
      <c r="K69" s="590"/>
      <c r="L69" s="590"/>
      <c r="M69" s="590"/>
    </row>
    <row r="70" spans="1:18" s="599" customFormat="1" ht="15.75">
      <c r="A70" s="683"/>
      <c r="B70" s="690"/>
      <c r="C70" s="690"/>
      <c r="D70" s="663"/>
      <c r="E70" s="660"/>
      <c r="F70" s="664"/>
      <c r="G70" s="665"/>
      <c r="H70" s="665"/>
      <c r="I70" s="613"/>
      <c r="J70" s="586"/>
      <c r="K70" s="604"/>
      <c r="L70" s="604"/>
      <c r="M70" s="604"/>
      <c r="N70" s="604"/>
      <c r="O70" s="604"/>
      <c r="P70" s="604"/>
      <c r="Q70" s="604"/>
      <c r="R70" s="604"/>
    </row>
    <row r="71" spans="1:13" s="586" customFormat="1" ht="15.75">
      <c r="A71" s="671">
        <v>2</v>
      </c>
      <c r="B71" s="672" t="s">
        <v>5</v>
      </c>
      <c r="C71" s="672">
        <v>4192457</v>
      </c>
      <c r="D71" s="705">
        <v>55521</v>
      </c>
      <c r="E71" s="671"/>
      <c r="F71" s="698"/>
      <c r="G71" s="699"/>
      <c r="H71" s="699"/>
      <c r="I71" s="614"/>
      <c r="K71" s="587"/>
      <c r="L71" s="587"/>
      <c r="M71" s="587"/>
    </row>
    <row r="72" spans="1:13" s="586" customFormat="1" ht="15.75">
      <c r="A72" s="652"/>
      <c r="B72" s="684"/>
      <c r="C72" s="684"/>
      <c r="D72" s="663"/>
      <c r="E72" s="680" t="s">
        <v>865</v>
      </c>
      <c r="F72" s="680"/>
      <c r="G72" s="681"/>
      <c r="H72" s="682">
        <f>H74</f>
        <v>0</v>
      </c>
      <c r="I72" s="650" t="s">
        <v>986</v>
      </c>
      <c r="J72" s="557"/>
      <c r="K72" s="587"/>
      <c r="L72" s="587"/>
      <c r="M72" s="587"/>
    </row>
    <row r="73" spans="1:13" s="586" customFormat="1" ht="15.75">
      <c r="A73" s="683"/>
      <c r="B73" s="684"/>
      <c r="C73" s="684"/>
      <c r="D73" s="685"/>
      <c r="E73" s="680" t="s">
        <v>708</v>
      </c>
      <c r="F73" s="680"/>
      <c r="G73" s="910">
        <v>233.5</v>
      </c>
      <c r="H73" s="687"/>
      <c r="I73" s="650" t="s">
        <v>986</v>
      </c>
      <c r="J73" s="559"/>
      <c r="K73" s="587"/>
      <c r="L73" s="587"/>
      <c r="M73" s="587"/>
    </row>
    <row r="74" spans="1:13" s="586" customFormat="1" ht="45">
      <c r="A74" s="660">
        <v>3</v>
      </c>
      <c r="B74" s="689" t="s">
        <v>676</v>
      </c>
      <c r="C74" s="715" t="s">
        <v>172</v>
      </c>
      <c r="D74" s="708" t="s">
        <v>806</v>
      </c>
      <c r="E74" s="722"/>
      <c r="F74" s="664">
        <v>0</v>
      </c>
      <c r="G74" s="665">
        <v>233.5</v>
      </c>
      <c r="H74" s="833"/>
      <c r="I74" s="585"/>
      <c r="J74" s="584"/>
      <c r="K74" s="587"/>
      <c r="L74" s="587"/>
      <c r="M74" s="587"/>
    </row>
    <row r="75" spans="1:13" s="592" customFormat="1" ht="18">
      <c r="A75" s="660"/>
      <c r="B75" s="683"/>
      <c r="C75" s="723"/>
      <c r="D75" s="708"/>
      <c r="E75" s="842" t="s">
        <v>6</v>
      </c>
      <c r="F75" s="843"/>
      <c r="G75" s="844"/>
      <c r="H75" s="845"/>
      <c r="I75" s="616"/>
      <c r="J75" s="617"/>
      <c r="K75" s="612"/>
      <c r="L75" s="612"/>
      <c r="M75" s="612"/>
    </row>
    <row r="76" spans="1:13" s="589" customFormat="1" ht="18">
      <c r="A76" s="660">
        <v>3</v>
      </c>
      <c r="B76" s="689" t="s">
        <v>807</v>
      </c>
      <c r="C76" s="662">
        <v>4199254</v>
      </c>
      <c r="D76" s="708">
        <v>55520</v>
      </c>
      <c r="E76" s="722"/>
      <c r="F76" s="664">
        <v>0</v>
      </c>
      <c r="G76" s="665" t="s">
        <v>655</v>
      </c>
      <c r="H76" s="665"/>
      <c r="I76" s="585"/>
      <c r="J76" s="618"/>
      <c r="K76" s="590"/>
      <c r="L76" s="590"/>
      <c r="M76" s="590"/>
    </row>
    <row r="77" spans="1:18" s="599" customFormat="1" ht="15.75">
      <c r="A77" s="660"/>
      <c r="B77" s="689"/>
      <c r="C77" s="689"/>
      <c r="D77" s="708"/>
      <c r="E77" s="722"/>
      <c r="F77" s="664"/>
      <c r="G77" s="665"/>
      <c r="H77" s="665"/>
      <c r="I77" s="585"/>
      <c r="J77" s="584"/>
      <c r="K77" s="604"/>
      <c r="L77" s="604"/>
      <c r="M77" s="604"/>
      <c r="N77" s="604"/>
      <c r="O77" s="604"/>
      <c r="P77" s="604"/>
      <c r="Q77" s="604"/>
      <c r="R77" s="604"/>
    </row>
    <row r="78" spans="1:13" s="586" customFormat="1" ht="15.75">
      <c r="A78" s="671">
        <v>2</v>
      </c>
      <c r="B78" s="672" t="s">
        <v>7</v>
      </c>
      <c r="C78" s="672">
        <v>4192457</v>
      </c>
      <c r="D78" s="705">
        <v>55521</v>
      </c>
      <c r="E78" s="671"/>
      <c r="F78" s="698"/>
      <c r="G78" s="699"/>
      <c r="H78" s="699"/>
      <c r="I78" s="614"/>
      <c r="J78" s="584"/>
      <c r="K78" s="587"/>
      <c r="L78" s="587"/>
      <c r="M78" s="587"/>
    </row>
    <row r="79" spans="1:13" s="586" customFormat="1" ht="15.75">
      <c r="A79" s="652"/>
      <c r="B79" s="684"/>
      <c r="C79" s="684"/>
      <c r="D79" s="663"/>
      <c r="E79" s="680" t="s">
        <v>865</v>
      </c>
      <c r="F79" s="680"/>
      <c r="G79" s="681"/>
      <c r="H79" s="682">
        <f>H81</f>
        <v>0</v>
      </c>
      <c r="I79" s="650" t="s">
        <v>986</v>
      </c>
      <c r="J79" s="557"/>
      <c r="K79" s="587"/>
      <c r="L79" s="587"/>
      <c r="M79" s="587"/>
    </row>
    <row r="80" spans="1:13" s="586" customFormat="1" ht="15.75">
      <c r="A80" s="683"/>
      <c r="B80" s="684"/>
      <c r="C80" s="684"/>
      <c r="D80" s="685"/>
      <c r="E80" s="680" t="s">
        <v>708</v>
      </c>
      <c r="F80" s="680"/>
      <c r="G80" s="910">
        <v>233.5</v>
      </c>
      <c r="H80" s="687"/>
      <c r="I80" s="650" t="s">
        <v>986</v>
      </c>
      <c r="J80" s="559"/>
      <c r="K80" s="587"/>
      <c r="L80" s="587"/>
      <c r="M80" s="587"/>
    </row>
    <row r="81" spans="1:13" s="586" customFormat="1" ht="45">
      <c r="A81" s="660">
        <v>3</v>
      </c>
      <c r="B81" s="689" t="s">
        <v>676</v>
      </c>
      <c r="C81" s="715" t="s">
        <v>172</v>
      </c>
      <c r="D81" s="708" t="s">
        <v>806</v>
      </c>
      <c r="E81" s="722"/>
      <c r="F81" s="664">
        <v>0</v>
      </c>
      <c r="G81" s="665">
        <v>233.5</v>
      </c>
      <c r="H81" s="665"/>
      <c r="I81" s="585"/>
      <c r="J81" s="584"/>
      <c r="K81" s="587"/>
      <c r="L81" s="587"/>
      <c r="M81" s="587"/>
    </row>
    <row r="82" spans="1:9" s="584" customFormat="1" ht="15.75">
      <c r="A82" s="660"/>
      <c r="B82" s="661"/>
      <c r="C82" s="723"/>
      <c r="D82" s="708"/>
      <c r="E82" s="842" t="s">
        <v>6</v>
      </c>
      <c r="F82" s="843"/>
      <c r="G82" s="844"/>
      <c r="H82" s="845"/>
      <c r="I82" s="585"/>
    </row>
    <row r="83" spans="1:9" s="584" customFormat="1" ht="15">
      <c r="A83" s="660">
        <v>3</v>
      </c>
      <c r="B83" s="689" t="s">
        <v>807</v>
      </c>
      <c r="C83" s="662">
        <v>4199254</v>
      </c>
      <c r="D83" s="708">
        <v>55520</v>
      </c>
      <c r="E83" s="722"/>
      <c r="F83" s="664">
        <v>0</v>
      </c>
      <c r="G83" s="665" t="s">
        <v>655</v>
      </c>
      <c r="H83" s="665"/>
      <c r="I83" s="585"/>
    </row>
    <row r="84" spans="1:27" s="230" customFormat="1" ht="18.75" customHeight="1">
      <c r="A84" s="969"/>
      <c r="B84" s="969"/>
      <c r="C84" s="977"/>
      <c r="D84" s="978"/>
      <c r="E84" s="979"/>
      <c r="F84" s="980"/>
      <c r="G84" s="981"/>
      <c r="H84" s="980"/>
      <c r="I84" s="132"/>
      <c r="J84" s="123"/>
      <c r="K84" s="132"/>
      <c r="L84" s="208"/>
      <c r="M84" s="208"/>
      <c r="N84" s="132"/>
      <c r="O84" s="954"/>
      <c r="P84" s="208"/>
      <c r="Q84" s="132"/>
      <c r="R84" s="208"/>
      <c r="S84" s="228"/>
      <c r="T84" s="228"/>
      <c r="U84" s="228"/>
      <c r="V84" s="229"/>
      <c r="W84" s="228"/>
      <c r="X84" s="228"/>
      <c r="Y84" s="228"/>
      <c r="Z84" s="228"/>
      <c r="AA84" s="228"/>
    </row>
    <row r="85" spans="1:27" s="239" customFormat="1" ht="16.5" customHeight="1">
      <c r="A85" s="982">
        <v>2</v>
      </c>
      <c r="B85" s="983" t="s">
        <v>858</v>
      </c>
      <c r="C85" s="984" t="s">
        <v>804</v>
      </c>
      <c r="D85" s="985"/>
      <c r="E85" s="986"/>
      <c r="F85" s="987"/>
      <c r="G85" s="988"/>
      <c r="H85" s="987"/>
      <c r="I85" s="989"/>
      <c r="J85" s="123"/>
      <c r="K85" s="253"/>
      <c r="L85" s="227"/>
      <c r="M85" s="208"/>
      <c r="N85" s="132"/>
      <c r="O85" s="954"/>
      <c r="P85" s="208"/>
      <c r="Q85" s="132"/>
      <c r="R85" s="208"/>
      <c r="S85" s="283"/>
      <c r="T85" s="283"/>
      <c r="U85" s="283"/>
      <c r="V85" s="284"/>
      <c r="W85" s="283"/>
      <c r="X85" s="283"/>
      <c r="Y85" s="283"/>
      <c r="Z85" s="283"/>
      <c r="AA85" s="283"/>
    </row>
    <row r="86" spans="1:27" s="128" customFormat="1" ht="16.5" customHeight="1">
      <c r="A86" s="990"/>
      <c r="B86" s="991"/>
      <c r="C86" s="991"/>
      <c r="D86" s="991"/>
      <c r="E86" s="992" t="s">
        <v>865</v>
      </c>
      <c r="F86" s="992"/>
      <c r="G86" s="958"/>
      <c r="H86" s="993"/>
      <c r="I86" s="1016" t="s">
        <v>860</v>
      </c>
      <c r="J86" s="269"/>
      <c r="K86" s="194"/>
      <c r="L86" s="271"/>
      <c r="M86" s="194"/>
      <c r="N86" s="196"/>
      <c r="O86" s="962"/>
      <c r="P86" s="194"/>
      <c r="Q86" s="196"/>
      <c r="R86" s="194"/>
      <c r="S86" s="195"/>
      <c r="T86" s="195"/>
      <c r="U86" s="195"/>
      <c r="V86" s="196"/>
      <c r="W86" s="195"/>
      <c r="X86" s="195"/>
      <c r="Y86" s="195"/>
      <c r="Z86" s="195"/>
      <c r="AA86" s="195"/>
    </row>
    <row r="87" spans="1:32" s="241" customFormat="1" ht="16.5" customHeight="1">
      <c r="A87" s="994"/>
      <c r="B87" s="995"/>
      <c r="C87" s="995"/>
      <c r="D87" s="995"/>
      <c r="E87" s="992" t="s">
        <v>708</v>
      </c>
      <c r="F87" s="992"/>
      <c r="G87" s="996">
        <f>SUM(G88)</f>
        <v>221</v>
      </c>
      <c r="H87" s="997"/>
      <c r="I87" s="998" t="s">
        <v>860</v>
      </c>
      <c r="O87" s="968"/>
      <c r="S87"/>
      <c r="T87"/>
      <c r="U87"/>
      <c r="V87"/>
      <c r="W87"/>
      <c r="X87"/>
      <c r="Y87"/>
      <c r="Z87"/>
      <c r="AA87"/>
      <c r="AB87"/>
      <c r="AC87"/>
      <c r="AD87"/>
      <c r="AE87"/>
      <c r="AF87"/>
    </row>
    <row r="88" spans="1:32" s="241" customFormat="1" ht="16.5" customHeight="1">
      <c r="A88" s="994">
        <v>3</v>
      </c>
      <c r="B88" s="969" t="s">
        <v>859</v>
      </c>
      <c r="C88" s="995"/>
      <c r="D88" s="999" t="s">
        <v>861</v>
      </c>
      <c r="E88" s="1000"/>
      <c r="F88" s="1001">
        <v>1</v>
      </c>
      <c r="G88" s="1002">
        <v>221</v>
      </c>
      <c r="H88" s="1017">
        <v>221</v>
      </c>
      <c r="O88" s="287"/>
      <c r="S88"/>
      <c r="T88"/>
      <c r="U88"/>
      <c r="V88"/>
      <c r="W88"/>
      <c r="X88"/>
      <c r="Y88"/>
      <c r="Z88"/>
      <c r="AA88"/>
      <c r="AB88"/>
      <c r="AC88"/>
      <c r="AD88"/>
      <c r="AE88"/>
      <c r="AF88"/>
    </row>
    <row r="89" spans="1:10" s="1011" customFormat="1" ht="18.75" thickBot="1">
      <c r="A89" s="1003"/>
      <c r="B89" s="1004"/>
      <c r="C89" s="1004"/>
      <c r="D89" s="1005"/>
      <c r="E89" s="1006" t="s">
        <v>862</v>
      </c>
      <c r="F89" s="1007"/>
      <c r="G89" s="1008"/>
      <c r="H89" s="1008"/>
      <c r="I89" s="1009"/>
      <c r="J89" s="1010"/>
    </row>
    <row r="90" spans="1:10" s="1011" customFormat="1" ht="18.75" thickTop="1">
      <c r="A90" s="1003"/>
      <c r="B90" s="1004"/>
      <c r="C90" s="1004"/>
      <c r="D90" s="1005"/>
      <c r="E90" s="1012"/>
      <c r="F90" s="1013"/>
      <c r="G90" s="1014"/>
      <c r="H90" s="1014"/>
      <c r="I90" s="1015"/>
      <c r="J90" s="1010"/>
    </row>
    <row r="91" spans="1:32" s="618" customFormat="1" ht="18">
      <c r="A91" s="671">
        <v>1</v>
      </c>
      <c r="B91" s="672" t="s">
        <v>677</v>
      </c>
      <c r="C91" s="672">
        <v>4199431</v>
      </c>
      <c r="D91" s="705">
        <v>55486</v>
      </c>
      <c r="E91" s="671"/>
      <c r="F91" s="698"/>
      <c r="G91" s="699"/>
      <c r="H91" s="699"/>
      <c r="I91" s="614"/>
      <c r="J91" s="582"/>
      <c r="K91" s="1011"/>
      <c r="L91" s="1011"/>
      <c r="M91" s="1011"/>
      <c r="N91" s="1011"/>
      <c r="O91" s="1011"/>
      <c r="P91" s="1011"/>
      <c r="Q91" s="1011"/>
      <c r="R91" s="1011"/>
      <c r="S91" s="1011"/>
      <c r="T91" s="1011"/>
      <c r="U91" s="1011"/>
      <c r="V91" s="1011"/>
      <c r="W91" s="1011"/>
      <c r="X91" s="1011"/>
      <c r="Y91" s="1011"/>
      <c r="Z91" s="1011"/>
      <c r="AA91" s="1011"/>
      <c r="AB91" s="1011"/>
      <c r="AC91" s="1011"/>
      <c r="AD91" s="1011"/>
      <c r="AE91" s="1011"/>
      <c r="AF91" s="1011"/>
    </row>
    <row r="92" spans="1:10" s="584" customFormat="1" ht="18">
      <c r="A92" s="724"/>
      <c r="B92" s="679"/>
      <c r="C92" s="679"/>
      <c r="D92" s="655"/>
      <c r="E92" s="680" t="s">
        <v>865</v>
      </c>
      <c r="F92" s="680"/>
      <c r="G92" s="681"/>
      <c r="H92" s="682">
        <f>SUM(H95:H106,H112,H236,H253,H283,H295)</f>
        <v>38533.899999999994</v>
      </c>
      <c r="I92" s="650" t="s">
        <v>986</v>
      </c>
      <c r="J92" s="557" t="s">
        <v>955</v>
      </c>
    </row>
    <row r="93" spans="1:10" s="584" customFormat="1" ht="18">
      <c r="A93" s="725"/>
      <c r="B93" s="679"/>
      <c r="C93" s="679"/>
      <c r="D93" s="726"/>
      <c r="E93" s="680" t="s">
        <v>708</v>
      </c>
      <c r="F93" s="680"/>
      <c r="G93" s="910">
        <v>38500</v>
      </c>
      <c r="H93" s="792">
        <f>38538+14.7</f>
        <v>38552.7</v>
      </c>
      <c r="I93" s="650" t="s">
        <v>986</v>
      </c>
      <c r="J93" s="559">
        <f>H93-H92</f>
        <v>18.80000000000291</v>
      </c>
    </row>
    <row r="94" spans="1:10" s="584" customFormat="1" ht="18">
      <c r="A94" s="725"/>
      <c r="B94" s="727" t="s">
        <v>678</v>
      </c>
      <c r="C94" s="727"/>
      <c r="D94" s="655"/>
      <c r="E94" s="657"/>
      <c r="F94" s="690"/>
      <c r="G94" s="703"/>
      <c r="H94" s="703"/>
      <c r="I94" s="621"/>
      <c r="J94" s="582"/>
    </row>
    <row r="95" spans="1:10" s="584" customFormat="1" ht="15">
      <c r="A95" s="660">
        <v>2</v>
      </c>
      <c r="B95" s="690" t="s">
        <v>679</v>
      </c>
      <c r="C95" s="662">
        <v>4199651</v>
      </c>
      <c r="D95" s="663">
        <v>55309</v>
      </c>
      <c r="E95" s="693"/>
      <c r="F95" s="664">
        <v>1</v>
      </c>
      <c r="G95" s="665">
        <v>7.5</v>
      </c>
      <c r="H95" s="833">
        <v>7.4</v>
      </c>
      <c r="I95" s="585"/>
      <c r="J95" s="582"/>
    </row>
    <row r="96" spans="1:10" s="584" customFormat="1" ht="15">
      <c r="A96" s="660">
        <v>2</v>
      </c>
      <c r="B96" s="690" t="s">
        <v>680</v>
      </c>
      <c r="C96" s="662">
        <v>4199651</v>
      </c>
      <c r="D96" s="663">
        <v>55309</v>
      </c>
      <c r="E96" s="693"/>
      <c r="F96" s="664">
        <v>1</v>
      </c>
      <c r="G96" s="665">
        <v>7.5</v>
      </c>
      <c r="H96" s="833">
        <v>7.4</v>
      </c>
      <c r="I96" s="585"/>
      <c r="J96" s="582"/>
    </row>
    <row r="97" spans="1:10" s="584" customFormat="1" ht="15">
      <c r="A97" s="660">
        <v>2</v>
      </c>
      <c r="B97" s="690" t="s">
        <v>681</v>
      </c>
      <c r="C97" s="662">
        <v>4199651</v>
      </c>
      <c r="D97" s="663">
        <v>55309</v>
      </c>
      <c r="E97" s="693"/>
      <c r="F97" s="664">
        <v>1</v>
      </c>
      <c r="G97" s="665">
        <v>7.5</v>
      </c>
      <c r="H97" s="833">
        <v>7.4</v>
      </c>
      <c r="I97" s="585"/>
      <c r="J97" s="582"/>
    </row>
    <row r="98" spans="1:10" s="584" customFormat="1" ht="15">
      <c r="A98" s="660">
        <v>2</v>
      </c>
      <c r="B98" s="690" t="s">
        <v>682</v>
      </c>
      <c r="C98" s="662">
        <v>4199651</v>
      </c>
      <c r="D98" s="663">
        <v>55309</v>
      </c>
      <c r="E98" s="693"/>
      <c r="F98" s="664">
        <v>1</v>
      </c>
      <c r="G98" s="665">
        <v>7.5</v>
      </c>
      <c r="H98" s="833">
        <v>7.4</v>
      </c>
      <c r="I98" s="585"/>
      <c r="J98" s="582"/>
    </row>
    <row r="99" spans="1:10" s="584" customFormat="1" ht="15">
      <c r="A99" s="660">
        <v>2</v>
      </c>
      <c r="B99" s="690" t="s">
        <v>8</v>
      </c>
      <c r="C99" s="662">
        <v>4199651</v>
      </c>
      <c r="D99" s="663">
        <v>55309</v>
      </c>
      <c r="E99" s="693"/>
      <c r="F99" s="664">
        <v>1</v>
      </c>
      <c r="G99" s="665">
        <v>7.5</v>
      </c>
      <c r="H99" s="833">
        <v>7.4</v>
      </c>
      <c r="I99" s="585"/>
      <c r="J99" s="582"/>
    </row>
    <row r="100" spans="1:10" s="584" customFormat="1" ht="15">
      <c r="A100" s="660">
        <v>2</v>
      </c>
      <c r="B100" s="690" t="s">
        <v>684</v>
      </c>
      <c r="C100" s="662">
        <v>4199059</v>
      </c>
      <c r="D100" s="663">
        <v>52411</v>
      </c>
      <c r="E100" s="693"/>
      <c r="F100" s="664">
        <v>1</v>
      </c>
      <c r="G100" s="665">
        <v>8</v>
      </c>
      <c r="H100" s="833">
        <v>8</v>
      </c>
      <c r="I100" s="585"/>
      <c r="J100" s="582"/>
    </row>
    <row r="101" spans="1:10" s="584" customFormat="1" ht="45">
      <c r="A101" s="660">
        <v>2</v>
      </c>
      <c r="B101" s="728" t="s">
        <v>594</v>
      </c>
      <c r="C101" s="729" t="s">
        <v>173</v>
      </c>
      <c r="D101" s="720" t="s">
        <v>595</v>
      </c>
      <c r="E101" s="730"/>
      <c r="F101" s="664">
        <v>1</v>
      </c>
      <c r="G101" s="665">
        <v>13.2</v>
      </c>
      <c r="H101" s="833">
        <v>13</v>
      </c>
      <c r="I101" s="585"/>
      <c r="J101" s="582"/>
    </row>
    <row r="102" spans="1:10" s="584" customFormat="1" ht="15">
      <c r="A102" s="660">
        <v>2</v>
      </c>
      <c r="B102" s="661" t="s">
        <v>596</v>
      </c>
      <c r="C102" s="662">
        <v>4199059</v>
      </c>
      <c r="D102" s="663">
        <v>52411</v>
      </c>
      <c r="E102" s="693"/>
      <c r="F102" s="664">
        <v>1</v>
      </c>
      <c r="G102" s="665">
        <v>8</v>
      </c>
      <c r="H102" s="833">
        <v>8</v>
      </c>
      <c r="I102" s="585"/>
      <c r="J102" s="582"/>
    </row>
    <row r="103" spans="1:10" s="584" customFormat="1" ht="45">
      <c r="A103" s="660">
        <v>2</v>
      </c>
      <c r="B103" s="728" t="s">
        <v>473</v>
      </c>
      <c r="C103" s="729" t="s">
        <v>173</v>
      </c>
      <c r="D103" s="720" t="s">
        <v>595</v>
      </c>
      <c r="E103" s="721"/>
      <c r="F103" s="664">
        <v>1</v>
      </c>
      <c r="G103" s="665">
        <v>15.3</v>
      </c>
      <c r="H103" s="833">
        <v>15.1</v>
      </c>
      <c r="I103" s="585"/>
      <c r="J103" s="582"/>
    </row>
    <row r="104" spans="1:10" s="618" customFormat="1" ht="18">
      <c r="A104" s="660">
        <v>2</v>
      </c>
      <c r="B104" s="690" t="s">
        <v>474</v>
      </c>
      <c r="C104" s="690" t="s">
        <v>174</v>
      </c>
      <c r="D104" s="663" t="s">
        <v>475</v>
      </c>
      <c r="E104" s="660"/>
      <c r="F104" s="664">
        <v>1</v>
      </c>
      <c r="G104" s="665">
        <v>5.3</v>
      </c>
      <c r="H104" s="833">
        <v>5.2</v>
      </c>
      <c r="I104" s="585"/>
      <c r="J104" s="582"/>
    </row>
    <row r="105" spans="1:10" s="582" customFormat="1" ht="15">
      <c r="A105" s="660">
        <v>2</v>
      </c>
      <c r="B105" s="661" t="s">
        <v>476</v>
      </c>
      <c r="C105" s="661">
        <v>4199058</v>
      </c>
      <c r="D105" s="663">
        <v>52410</v>
      </c>
      <c r="E105" s="663"/>
      <c r="F105" s="664">
        <v>1</v>
      </c>
      <c r="G105" s="665">
        <v>6.4</v>
      </c>
      <c r="H105" s="833">
        <v>6.6</v>
      </c>
      <c r="I105" s="585"/>
      <c r="J105" s="1010"/>
    </row>
    <row r="106" spans="1:10" s="582" customFormat="1" ht="15">
      <c r="A106" s="660">
        <v>2</v>
      </c>
      <c r="B106" s="690" t="s">
        <v>695</v>
      </c>
      <c r="C106" s="690" t="s">
        <v>174</v>
      </c>
      <c r="D106" s="663" t="s">
        <v>475</v>
      </c>
      <c r="E106" s="693"/>
      <c r="F106" s="664">
        <v>1</v>
      </c>
      <c r="G106" s="665">
        <v>10.5</v>
      </c>
      <c r="H106" s="833">
        <v>10.5</v>
      </c>
      <c r="I106" s="585"/>
      <c r="J106" s="1010"/>
    </row>
    <row r="107" spans="1:10" s="582" customFormat="1" ht="15">
      <c r="A107" s="660"/>
      <c r="B107" s="690"/>
      <c r="C107" s="690"/>
      <c r="D107" s="663"/>
      <c r="E107" s="693"/>
      <c r="F107" s="664"/>
      <c r="G107" s="665"/>
      <c r="H107" s="833"/>
      <c r="I107" s="585"/>
      <c r="J107" s="1010"/>
    </row>
    <row r="108" spans="1:10" s="582" customFormat="1" ht="15.75">
      <c r="A108" s="660"/>
      <c r="B108" s="690"/>
      <c r="C108" s="906" t="s">
        <v>163</v>
      </c>
      <c r="D108" s="942">
        <v>60.9</v>
      </c>
      <c r="E108" s="943" t="s">
        <v>26</v>
      </c>
      <c r="F108" s="942">
        <v>14.97</v>
      </c>
      <c r="G108" s="665"/>
      <c r="H108" s="833"/>
      <c r="I108" s="585"/>
      <c r="J108" s="1010"/>
    </row>
    <row r="109" spans="1:10" s="582" customFormat="1" ht="15.75">
      <c r="A109" s="660"/>
      <c r="B109" s="690"/>
      <c r="C109" s="906" t="s">
        <v>164</v>
      </c>
      <c r="D109" s="942">
        <v>52.9</v>
      </c>
      <c r="E109" s="943" t="s">
        <v>27</v>
      </c>
      <c r="F109" s="942">
        <v>9.93</v>
      </c>
      <c r="G109" s="665"/>
      <c r="H109" s="833"/>
      <c r="I109" s="585"/>
      <c r="J109" s="1010"/>
    </row>
    <row r="110" spans="1:10" s="582" customFormat="1" ht="15">
      <c r="A110" s="660"/>
      <c r="B110" s="690"/>
      <c r="C110" s="690"/>
      <c r="D110" s="663"/>
      <c r="E110" s="693"/>
      <c r="F110" s="664"/>
      <c r="G110" s="665"/>
      <c r="H110" s="665"/>
      <c r="I110" s="585"/>
      <c r="J110" s="1010"/>
    </row>
    <row r="111" spans="1:10" s="582" customFormat="1" ht="15.75">
      <c r="A111" s="671">
        <v>2</v>
      </c>
      <c r="B111" s="672" t="s">
        <v>696</v>
      </c>
      <c r="C111" s="672">
        <v>4199346</v>
      </c>
      <c r="D111" s="705">
        <v>49891</v>
      </c>
      <c r="E111" s="731"/>
      <c r="F111" s="672"/>
      <c r="G111" s="732"/>
      <c r="H111" s="732"/>
      <c r="I111" s="622"/>
      <c r="J111" s="1010"/>
    </row>
    <row r="112" spans="1:10" s="582" customFormat="1" ht="15.75">
      <c r="A112" s="700"/>
      <c r="B112" s="679"/>
      <c r="C112" s="679"/>
      <c r="D112" s="655"/>
      <c r="E112" s="680" t="s">
        <v>865</v>
      </c>
      <c r="F112" s="680"/>
      <c r="G112" s="681"/>
      <c r="H112" s="682">
        <f>SUM(H117,H126,H176,H191,H212:H218,H220:H230,H232)</f>
        <v>7250.2</v>
      </c>
      <c r="I112" s="650" t="s">
        <v>986</v>
      </c>
      <c r="J112" s="557" t="s">
        <v>955</v>
      </c>
    </row>
    <row r="113" spans="1:13" s="582" customFormat="1" ht="15.75">
      <c r="A113" s="660"/>
      <c r="B113" s="679"/>
      <c r="C113" s="679"/>
      <c r="D113" s="726"/>
      <c r="E113" s="680" t="s">
        <v>708</v>
      </c>
      <c r="F113" s="680"/>
      <c r="G113" s="910">
        <v>7250</v>
      </c>
      <c r="H113" s="793">
        <v>7292</v>
      </c>
      <c r="I113" s="650" t="s">
        <v>986</v>
      </c>
      <c r="J113" s="559">
        <f>H113-H112</f>
        <v>41.80000000000018</v>
      </c>
      <c r="L113" s="621"/>
      <c r="M113" s="623"/>
    </row>
    <row r="114" spans="1:15" s="582" customFormat="1" ht="15.75">
      <c r="A114" s="700"/>
      <c r="B114" s="733"/>
      <c r="C114" s="733"/>
      <c r="D114" s="655"/>
      <c r="E114" s="734"/>
      <c r="F114" s="690"/>
      <c r="G114" s="735"/>
      <c r="H114" s="735"/>
      <c r="I114" s="624"/>
      <c r="J114" s="1010"/>
      <c r="K114" s="1010"/>
      <c r="L114" s="624"/>
      <c r="M114" s="1010"/>
      <c r="N114" s="1010"/>
      <c r="O114" s="1010"/>
    </row>
    <row r="115" spans="1:15" s="582" customFormat="1" ht="15.75">
      <c r="A115" s="700">
        <v>3</v>
      </c>
      <c r="B115" s="736" t="s">
        <v>284</v>
      </c>
      <c r="C115" s="736"/>
      <c r="D115" s="685">
        <v>5507</v>
      </c>
      <c r="E115" s="737"/>
      <c r="F115" s="690" t="s">
        <v>986</v>
      </c>
      <c r="G115" s="735"/>
      <c r="H115" s="839">
        <v>5585</v>
      </c>
      <c r="I115" s="624"/>
      <c r="J115" s="1010"/>
      <c r="K115" s="1010"/>
      <c r="L115" s="624"/>
      <c r="M115" s="1010"/>
      <c r="N115" s="1010"/>
      <c r="O115" s="1010"/>
    </row>
    <row r="116" spans="1:15" s="582" customFormat="1" ht="15.75">
      <c r="A116" s="700"/>
      <c r="B116" s="736" t="s">
        <v>598</v>
      </c>
      <c r="C116" s="736"/>
      <c r="D116" s="685">
        <v>6657</v>
      </c>
      <c r="E116" s="737"/>
      <c r="F116" s="690" t="s">
        <v>986</v>
      </c>
      <c r="G116" s="735"/>
      <c r="H116" s="839">
        <v>6699</v>
      </c>
      <c r="I116" s="624"/>
      <c r="J116" s="1010"/>
      <c r="K116" s="1010"/>
      <c r="L116" s="624"/>
      <c r="M116" s="623"/>
      <c r="N116" s="1010"/>
      <c r="O116" s="623"/>
    </row>
    <row r="117" spans="1:15" s="582" customFormat="1" ht="15.75">
      <c r="A117" s="700"/>
      <c r="B117" s="736" t="s">
        <v>599</v>
      </c>
      <c r="C117" s="736"/>
      <c r="D117" s="663">
        <f>D116-D115</f>
        <v>1150</v>
      </c>
      <c r="E117" s="666"/>
      <c r="F117" s="690" t="s">
        <v>986</v>
      </c>
      <c r="G117" s="661"/>
      <c r="H117" s="682">
        <v>1114</v>
      </c>
      <c r="I117" s="584"/>
      <c r="J117" s="1010"/>
      <c r="K117" s="1010"/>
      <c r="L117" s="584"/>
      <c r="M117" s="624"/>
      <c r="N117" s="1010"/>
      <c r="O117" s="1010"/>
    </row>
    <row r="118" spans="1:15" s="582" customFormat="1" ht="15.75">
      <c r="A118" s="700"/>
      <c r="B118" s="736" t="s">
        <v>285</v>
      </c>
      <c r="C118" s="736"/>
      <c r="D118" s="738"/>
      <c r="E118" s="666"/>
      <c r="F118" s="690" t="s">
        <v>957</v>
      </c>
      <c r="G118" s="661"/>
      <c r="H118" s="682">
        <v>1353.749</v>
      </c>
      <c r="I118" s="609"/>
      <c r="J118" s="1010"/>
      <c r="K118" s="1010"/>
      <c r="L118" s="624"/>
      <c r="M118" s="1010"/>
      <c r="N118" s="1010"/>
      <c r="O118" s="1010"/>
    </row>
    <row r="119" spans="1:15" s="582" customFormat="1" ht="15.75">
      <c r="A119" s="700"/>
      <c r="B119" s="736"/>
      <c r="C119" s="736"/>
      <c r="D119" s="738"/>
      <c r="E119" s="666"/>
      <c r="F119" s="690"/>
      <c r="G119" s="661"/>
      <c r="H119" s="661"/>
      <c r="I119" s="609"/>
      <c r="J119" s="1010"/>
      <c r="K119" s="1010"/>
      <c r="L119" s="624"/>
      <c r="M119" s="1010"/>
      <c r="N119" s="1010"/>
      <c r="O119" s="1010"/>
    </row>
    <row r="120" spans="1:15" s="582" customFormat="1" ht="15.75">
      <c r="A120" s="700"/>
      <c r="B120" s="736"/>
      <c r="C120" s="736"/>
      <c r="D120" s="663"/>
      <c r="E120" s="657" t="s">
        <v>370</v>
      </c>
      <c r="F120" s="690"/>
      <c r="G120" s="683" t="s">
        <v>373</v>
      </c>
      <c r="H120" s="661"/>
      <c r="I120" s="609"/>
      <c r="J120" s="1010"/>
      <c r="K120" s="1010"/>
      <c r="L120" s="624"/>
      <c r="M120" s="1010"/>
      <c r="N120" s="1010"/>
      <c r="O120" s="1010"/>
    </row>
    <row r="121" spans="1:15" s="582" customFormat="1" ht="15.75">
      <c r="A121" s="700"/>
      <c r="B121" s="736"/>
      <c r="C121" s="736"/>
      <c r="D121" s="856" t="s">
        <v>368</v>
      </c>
      <c r="E121" s="854">
        <v>4062</v>
      </c>
      <c r="F121" s="855"/>
      <c r="G121" s="854">
        <v>294</v>
      </c>
      <c r="H121" s="661"/>
      <c r="I121" s="609"/>
      <c r="J121" s="1010"/>
      <c r="K121" s="1010"/>
      <c r="L121" s="624"/>
      <c r="M121" s="1010"/>
      <c r="N121" s="1010"/>
      <c r="O121" s="1010"/>
    </row>
    <row r="122" spans="1:15" s="582" customFormat="1" ht="15.75">
      <c r="A122" s="700"/>
      <c r="B122" s="736"/>
      <c r="C122" s="736"/>
      <c r="D122" s="856" t="s">
        <v>369</v>
      </c>
      <c r="E122" s="854">
        <v>4058</v>
      </c>
      <c r="F122" s="855"/>
      <c r="G122" s="854">
        <v>314</v>
      </c>
      <c r="H122" s="661"/>
      <c r="I122" s="609"/>
      <c r="J122" s="1010"/>
      <c r="K122" s="1010"/>
      <c r="L122" s="624"/>
      <c r="M122" s="1010"/>
      <c r="N122" s="1010"/>
      <c r="O122" s="1010"/>
    </row>
    <row r="123" spans="1:15" s="582" customFormat="1" ht="15.75">
      <c r="A123" s="700"/>
      <c r="B123" s="736"/>
      <c r="C123" s="736"/>
      <c r="D123" s="856" t="s">
        <v>371</v>
      </c>
      <c r="E123" s="854">
        <v>4060</v>
      </c>
      <c r="F123" s="855"/>
      <c r="G123" s="854">
        <v>294</v>
      </c>
      <c r="H123" s="661"/>
      <c r="I123" s="609"/>
      <c r="J123" s="1010"/>
      <c r="K123" s="1010"/>
      <c r="L123" s="624"/>
      <c r="M123" s="1010"/>
      <c r="N123" s="1010"/>
      <c r="O123" s="1010"/>
    </row>
    <row r="124" spans="1:15" s="582" customFormat="1" ht="15.75">
      <c r="A124" s="700"/>
      <c r="B124" s="736"/>
      <c r="C124" s="736"/>
      <c r="D124" s="853" t="s">
        <v>372</v>
      </c>
      <c r="E124" s="853">
        <f>E123-100</f>
        <v>3960</v>
      </c>
      <c r="F124" s="853"/>
      <c r="G124" s="853">
        <f>G123+100</f>
        <v>394</v>
      </c>
      <c r="H124" s="661"/>
      <c r="I124" s="609"/>
      <c r="J124" s="1010"/>
      <c r="K124" s="1010"/>
      <c r="L124" s="624"/>
      <c r="M124" s="1010"/>
      <c r="N124" s="1010"/>
      <c r="O124" s="1010"/>
    </row>
    <row r="125" spans="1:15" s="582" customFormat="1" ht="15.75">
      <c r="A125" s="739">
        <v>3</v>
      </c>
      <c r="B125" s="672" t="s">
        <v>601</v>
      </c>
      <c r="C125" s="672">
        <v>4199430</v>
      </c>
      <c r="D125" s="705">
        <v>55480</v>
      </c>
      <c r="E125" s="731"/>
      <c r="F125" s="740"/>
      <c r="G125" s="699"/>
      <c r="H125" s="699"/>
      <c r="I125" s="603"/>
      <c r="J125" s="1010"/>
      <c r="K125" s="1010"/>
      <c r="L125" s="1010"/>
      <c r="M125" s="1010"/>
      <c r="N125" s="1010"/>
      <c r="O125" s="1010"/>
    </row>
    <row r="126" spans="1:15" s="582" customFormat="1" ht="15.75">
      <c r="A126" s="700"/>
      <c r="B126" s="684"/>
      <c r="C126" s="684"/>
      <c r="D126" s="663"/>
      <c r="E126" s="680" t="s">
        <v>865</v>
      </c>
      <c r="F126" s="680"/>
      <c r="G126" s="681"/>
      <c r="H126" s="682">
        <f>SUM(H128:H144,H146:H174)</f>
        <v>3949.5000000000005</v>
      </c>
      <c r="I126" s="650" t="s">
        <v>986</v>
      </c>
      <c r="J126" s="557" t="s">
        <v>955</v>
      </c>
      <c r="K126" s="1010"/>
      <c r="L126" s="1010"/>
      <c r="M126" s="1010"/>
      <c r="N126" s="1010"/>
      <c r="O126" s="1010"/>
    </row>
    <row r="127" spans="1:15" s="582" customFormat="1" ht="15.75">
      <c r="A127" s="700"/>
      <c r="B127" s="684"/>
      <c r="C127" s="684"/>
      <c r="D127" s="685"/>
      <c r="E127" s="680" t="s">
        <v>708</v>
      </c>
      <c r="F127" s="680"/>
      <c r="G127" s="910">
        <v>3940</v>
      </c>
      <c r="H127" s="838">
        <v>3962.2</v>
      </c>
      <c r="I127" s="650" t="s">
        <v>986</v>
      </c>
      <c r="J127" s="559">
        <f>H127-H126</f>
        <v>12.699999999999363</v>
      </c>
      <c r="K127" s="1010"/>
      <c r="L127" s="1010"/>
      <c r="M127" s="1010"/>
      <c r="N127" s="1010"/>
      <c r="O127" s="1010"/>
    </row>
    <row r="128" spans="1:15" s="582" customFormat="1" ht="15">
      <c r="A128" s="700">
        <v>4</v>
      </c>
      <c r="B128" s="690" t="s">
        <v>602</v>
      </c>
      <c r="C128" s="662">
        <v>4199325</v>
      </c>
      <c r="D128" s="663">
        <v>49815</v>
      </c>
      <c r="E128" s="693"/>
      <c r="F128" s="664">
        <v>1</v>
      </c>
      <c r="G128" s="665">
        <v>2034.3</v>
      </c>
      <c r="H128" s="833">
        <v>2017</v>
      </c>
      <c r="I128" s="585"/>
      <c r="J128" s="1010"/>
      <c r="K128" s="1010"/>
      <c r="L128" s="1010"/>
      <c r="M128" s="585"/>
      <c r="N128" s="1010"/>
      <c r="O128" s="1010"/>
    </row>
    <row r="129" spans="1:13" s="582" customFormat="1" ht="15.75">
      <c r="A129" s="700">
        <v>4</v>
      </c>
      <c r="B129" s="727" t="s">
        <v>603</v>
      </c>
      <c r="C129" s="662">
        <v>4199132</v>
      </c>
      <c r="D129" s="663">
        <v>55248</v>
      </c>
      <c r="E129" s="660"/>
      <c r="F129" s="664">
        <v>1</v>
      </c>
      <c r="G129" s="665">
        <v>1</v>
      </c>
      <c r="H129" s="833">
        <v>1.1</v>
      </c>
      <c r="I129" s="585"/>
      <c r="M129" s="585"/>
    </row>
    <row r="130" spans="1:13" s="582" customFormat="1" ht="15.75">
      <c r="A130" s="700">
        <v>4</v>
      </c>
      <c r="B130" s="727" t="s">
        <v>604</v>
      </c>
      <c r="C130" s="662">
        <v>4199074</v>
      </c>
      <c r="D130" s="663">
        <v>52432</v>
      </c>
      <c r="E130" s="693"/>
      <c r="F130" s="664">
        <v>1</v>
      </c>
      <c r="G130" s="665">
        <v>8.3</v>
      </c>
      <c r="H130" s="833">
        <v>8.4</v>
      </c>
      <c r="I130" s="585"/>
      <c r="J130" s="1010"/>
      <c r="K130" s="1010"/>
      <c r="L130" s="1010"/>
      <c r="M130" s="585"/>
    </row>
    <row r="131" spans="1:13" s="582" customFormat="1" ht="15">
      <c r="A131" s="700">
        <v>4</v>
      </c>
      <c r="B131" s="741" t="s">
        <v>61</v>
      </c>
      <c r="C131" s="662">
        <v>4199245</v>
      </c>
      <c r="D131" s="663">
        <v>55506</v>
      </c>
      <c r="E131" s="693"/>
      <c r="F131" s="664">
        <v>1</v>
      </c>
      <c r="G131" s="665">
        <v>27.4</v>
      </c>
      <c r="H131" s="833">
        <v>27.8</v>
      </c>
      <c r="I131" s="585"/>
      <c r="J131" s="1010"/>
      <c r="K131" s="1010"/>
      <c r="L131" s="1010"/>
      <c r="M131" s="585"/>
    </row>
    <row r="132" spans="1:13" s="582" customFormat="1" ht="15">
      <c r="A132" s="700">
        <v>4</v>
      </c>
      <c r="B132" s="741" t="s">
        <v>606</v>
      </c>
      <c r="C132" s="662">
        <v>4199367</v>
      </c>
      <c r="D132" s="663">
        <v>52254</v>
      </c>
      <c r="E132" s="693"/>
      <c r="F132" s="664">
        <v>1</v>
      </c>
      <c r="G132" s="665">
        <v>610.2</v>
      </c>
      <c r="H132" s="833">
        <v>605.7</v>
      </c>
      <c r="I132" s="585"/>
      <c r="J132" s="1010"/>
      <c r="K132" s="1010"/>
      <c r="L132" s="1010"/>
      <c r="M132" s="585"/>
    </row>
    <row r="133" spans="1:13" s="582" customFormat="1" ht="15">
      <c r="A133" s="700">
        <v>4</v>
      </c>
      <c r="B133" s="741" t="s">
        <v>607</v>
      </c>
      <c r="C133" s="662">
        <v>4199072</v>
      </c>
      <c r="D133" s="663">
        <v>52430</v>
      </c>
      <c r="E133" s="693"/>
      <c r="F133" s="664">
        <v>1</v>
      </c>
      <c r="G133" s="665">
        <v>10.6</v>
      </c>
      <c r="H133" s="833">
        <v>10.5</v>
      </c>
      <c r="I133" s="585"/>
      <c r="J133" s="1010"/>
      <c r="K133" s="1010"/>
      <c r="L133" s="1010"/>
      <c r="M133" s="585"/>
    </row>
    <row r="134" spans="1:13" s="582" customFormat="1" ht="15">
      <c r="A134" s="700">
        <v>4</v>
      </c>
      <c r="B134" s="690" t="s">
        <v>717</v>
      </c>
      <c r="C134" s="662">
        <v>4199071</v>
      </c>
      <c r="D134" s="663">
        <v>52433</v>
      </c>
      <c r="E134" s="693"/>
      <c r="F134" s="664">
        <v>1</v>
      </c>
      <c r="G134" s="665">
        <v>19</v>
      </c>
      <c r="H134" s="833">
        <v>19</v>
      </c>
      <c r="I134" s="585"/>
      <c r="J134" s="1010"/>
      <c r="K134" s="1010"/>
      <c r="L134" s="1010"/>
      <c r="M134" s="585"/>
    </row>
    <row r="135" spans="1:13" s="582" customFormat="1" ht="15.75">
      <c r="A135" s="700">
        <v>4</v>
      </c>
      <c r="B135" s="727" t="s">
        <v>9</v>
      </c>
      <c r="C135" s="662">
        <v>4199064</v>
      </c>
      <c r="D135" s="663">
        <v>52419</v>
      </c>
      <c r="E135" s="693"/>
      <c r="F135" s="664">
        <v>1</v>
      </c>
      <c r="G135" s="665">
        <v>3.3</v>
      </c>
      <c r="H135" s="833">
        <v>3.3</v>
      </c>
      <c r="I135" s="585"/>
      <c r="J135" s="1010"/>
      <c r="K135" s="1010"/>
      <c r="L135" s="1010"/>
      <c r="M135" s="585"/>
    </row>
    <row r="136" spans="1:13" s="582" customFormat="1" ht="15.75">
      <c r="A136" s="700">
        <v>4</v>
      </c>
      <c r="B136" s="727" t="s">
        <v>218</v>
      </c>
      <c r="C136" s="662">
        <v>4199064</v>
      </c>
      <c r="D136" s="663">
        <v>52419</v>
      </c>
      <c r="E136" s="693"/>
      <c r="F136" s="664">
        <v>1</v>
      </c>
      <c r="G136" s="665">
        <v>2.5</v>
      </c>
      <c r="H136" s="833">
        <v>2.6</v>
      </c>
      <c r="I136" s="585"/>
      <c r="J136" s="1010"/>
      <c r="K136" s="1010"/>
      <c r="L136" s="1010"/>
      <c r="M136" s="585"/>
    </row>
    <row r="137" spans="1:13" s="582" customFormat="1" ht="15.75">
      <c r="A137" s="700">
        <v>4</v>
      </c>
      <c r="B137" s="727" t="s">
        <v>720</v>
      </c>
      <c r="C137" s="662">
        <v>4199084</v>
      </c>
      <c r="D137" s="663">
        <v>52448</v>
      </c>
      <c r="E137" s="693"/>
      <c r="F137" s="664">
        <v>1</v>
      </c>
      <c r="G137" s="665">
        <v>22.7</v>
      </c>
      <c r="H137" s="833">
        <v>22.6</v>
      </c>
      <c r="I137" s="585"/>
      <c r="J137" s="1010"/>
      <c r="K137" s="1010"/>
      <c r="L137" s="1010"/>
      <c r="M137" s="585"/>
    </row>
    <row r="138" spans="1:13" s="582" customFormat="1" ht="15">
      <c r="A138" s="700">
        <v>4</v>
      </c>
      <c r="B138" s="690" t="s">
        <v>721</v>
      </c>
      <c r="C138" s="662">
        <v>4199076</v>
      </c>
      <c r="D138" s="663">
        <v>52435</v>
      </c>
      <c r="E138" s="693"/>
      <c r="F138" s="664">
        <v>1</v>
      </c>
      <c r="G138" s="665">
        <v>16.1</v>
      </c>
      <c r="H138" s="833">
        <v>16.1</v>
      </c>
      <c r="I138" s="585"/>
      <c r="J138" s="1010"/>
      <c r="K138" s="1010"/>
      <c r="L138" s="1010"/>
      <c r="M138" s="585"/>
    </row>
    <row r="139" spans="1:13" s="582" customFormat="1" ht="15.75">
      <c r="A139" s="700">
        <v>4</v>
      </c>
      <c r="B139" s="727" t="s">
        <v>122</v>
      </c>
      <c r="C139" s="662">
        <v>4199064</v>
      </c>
      <c r="D139" s="663">
        <v>52419</v>
      </c>
      <c r="E139" s="693"/>
      <c r="F139" s="664">
        <v>1</v>
      </c>
      <c r="G139" s="665">
        <v>4</v>
      </c>
      <c r="H139" s="833">
        <v>3.8</v>
      </c>
      <c r="I139" s="585"/>
      <c r="J139" s="1010"/>
      <c r="K139" s="1010"/>
      <c r="L139" s="1010"/>
      <c r="M139" s="585"/>
    </row>
    <row r="140" spans="1:13" s="582" customFormat="1" ht="15.75">
      <c r="A140" s="700">
        <v>4</v>
      </c>
      <c r="B140" s="742" t="s">
        <v>723</v>
      </c>
      <c r="C140" s="662">
        <v>4199075</v>
      </c>
      <c r="D140" s="663">
        <v>52428</v>
      </c>
      <c r="E140" s="693"/>
      <c r="F140" s="664">
        <v>1</v>
      </c>
      <c r="G140" s="665">
        <v>18.8</v>
      </c>
      <c r="H140" s="833">
        <v>18.9</v>
      </c>
      <c r="I140" s="585"/>
      <c r="J140" s="1010"/>
      <c r="K140" s="1010"/>
      <c r="L140" s="1010"/>
      <c r="M140" s="585"/>
    </row>
    <row r="141" spans="1:13" s="582" customFormat="1" ht="15.75">
      <c r="A141" s="700">
        <v>4</v>
      </c>
      <c r="B141" s="727" t="s">
        <v>724</v>
      </c>
      <c r="C141" s="662">
        <v>4199064</v>
      </c>
      <c r="D141" s="663">
        <v>52419</v>
      </c>
      <c r="E141" s="693"/>
      <c r="F141" s="664">
        <v>1</v>
      </c>
      <c r="G141" s="665">
        <v>1.8</v>
      </c>
      <c r="H141" s="833">
        <v>1.9</v>
      </c>
      <c r="I141" s="585"/>
      <c r="J141" s="1010"/>
      <c r="K141" s="1010"/>
      <c r="L141" s="1010"/>
      <c r="M141" s="585"/>
    </row>
    <row r="142" spans="1:13" s="582" customFormat="1" ht="15.75">
      <c r="A142" s="700">
        <v>4</v>
      </c>
      <c r="B142" s="727" t="s">
        <v>725</v>
      </c>
      <c r="C142" s="662">
        <v>4199043</v>
      </c>
      <c r="D142" s="663">
        <v>52350</v>
      </c>
      <c r="E142" s="660"/>
      <c r="F142" s="664">
        <v>1</v>
      </c>
      <c r="G142" s="665">
        <v>0.9</v>
      </c>
      <c r="H142" s="833">
        <v>0.9</v>
      </c>
      <c r="I142" s="585"/>
      <c r="J142" s="1010"/>
      <c r="K142" s="1010"/>
      <c r="L142" s="1010"/>
      <c r="M142" s="585"/>
    </row>
    <row r="143" spans="1:13" s="582" customFormat="1" ht="15.75">
      <c r="A143" s="700">
        <v>4</v>
      </c>
      <c r="B143" s="727" t="s">
        <v>726</v>
      </c>
      <c r="C143" s="662">
        <v>4199400</v>
      </c>
      <c r="D143" s="663">
        <v>52349</v>
      </c>
      <c r="E143" s="660"/>
      <c r="F143" s="664">
        <v>1</v>
      </c>
      <c r="G143" s="665">
        <v>7.6</v>
      </c>
      <c r="H143" s="833">
        <v>7.2</v>
      </c>
      <c r="I143" s="585"/>
      <c r="J143" s="1010"/>
      <c r="K143" s="1010"/>
      <c r="L143" s="1010"/>
      <c r="M143" s="585"/>
    </row>
    <row r="144" spans="1:13" s="582" customFormat="1" ht="15">
      <c r="A144" s="700">
        <v>4</v>
      </c>
      <c r="B144" s="690" t="s">
        <v>727</v>
      </c>
      <c r="C144" s="662">
        <v>4199399</v>
      </c>
      <c r="D144" s="663">
        <v>52348</v>
      </c>
      <c r="E144" s="693"/>
      <c r="F144" s="664">
        <v>1</v>
      </c>
      <c r="G144" s="665">
        <v>316.8</v>
      </c>
      <c r="H144" s="833">
        <v>315.5</v>
      </c>
      <c r="I144" s="585"/>
      <c r="J144" s="1010"/>
      <c r="K144" s="1010"/>
      <c r="L144" s="1010"/>
      <c r="M144" s="585"/>
    </row>
    <row r="145" spans="1:13" s="582" customFormat="1" ht="15.75">
      <c r="A145" s="700"/>
      <c r="B145" s="658"/>
      <c r="C145" s="662"/>
      <c r="D145" s="663"/>
      <c r="E145" s="842" t="s">
        <v>123</v>
      </c>
      <c r="F145" s="843"/>
      <c r="G145" s="844"/>
      <c r="H145" s="845" t="s">
        <v>105</v>
      </c>
      <c r="I145" s="625"/>
      <c r="M145" s="625"/>
    </row>
    <row r="146" spans="1:13" s="582" customFormat="1" ht="15.75">
      <c r="A146" s="700">
        <v>4</v>
      </c>
      <c r="B146" s="742" t="s">
        <v>728</v>
      </c>
      <c r="C146" s="662">
        <v>4199319</v>
      </c>
      <c r="D146" s="663">
        <v>49803</v>
      </c>
      <c r="E146" s="660"/>
      <c r="F146" s="664">
        <v>1</v>
      </c>
      <c r="G146" s="665">
        <v>111.1</v>
      </c>
      <c r="H146" s="833">
        <v>110.8</v>
      </c>
      <c r="I146" s="585"/>
      <c r="J146" s="1010"/>
      <c r="K146" s="1010"/>
      <c r="L146" s="1010"/>
      <c r="M146" s="585"/>
    </row>
    <row r="147" spans="1:13" s="582" customFormat="1" ht="15.75">
      <c r="A147" s="700">
        <v>4</v>
      </c>
      <c r="B147" s="727" t="s">
        <v>729</v>
      </c>
      <c r="C147" s="662">
        <v>4199093</v>
      </c>
      <c r="D147" s="663">
        <v>52459</v>
      </c>
      <c r="E147" s="693"/>
      <c r="F147" s="664">
        <v>1</v>
      </c>
      <c r="G147" s="665">
        <v>3.2</v>
      </c>
      <c r="H147" s="833">
        <v>3.2</v>
      </c>
      <c r="I147" s="585"/>
      <c r="J147" s="1010"/>
      <c r="K147" s="1010"/>
      <c r="L147" s="1010"/>
      <c r="M147" s="585"/>
    </row>
    <row r="148" spans="1:13" s="582" customFormat="1" ht="15.75">
      <c r="A148" s="700">
        <v>4</v>
      </c>
      <c r="B148" s="742" t="s">
        <v>730</v>
      </c>
      <c r="C148" s="662">
        <v>4199055</v>
      </c>
      <c r="D148" s="663">
        <v>52407</v>
      </c>
      <c r="E148" s="693"/>
      <c r="F148" s="664">
        <v>1</v>
      </c>
      <c r="G148" s="665">
        <v>0.5</v>
      </c>
      <c r="H148" s="833">
        <v>0.5</v>
      </c>
      <c r="I148" s="585"/>
      <c r="J148" s="1010"/>
      <c r="K148" s="1010"/>
      <c r="L148" s="1010"/>
      <c r="M148" s="585"/>
    </row>
    <row r="149" spans="1:13" s="582" customFormat="1" ht="15.75">
      <c r="A149" s="700">
        <v>4</v>
      </c>
      <c r="B149" s="727" t="s">
        <v>731</v>
      </c>
      <c r="C149" s="662">
        <v>4199077</v>
      </c>
      <c r="D149" s="663">
        <v>52436</v>
      </c>
      <c r="E149" s="693"/>
      <c r="F149" s="664">
        <v>1</v>
      </c>
      <c r="G149" s="665">
        <v>16.1</v>
      </c>
      <c r="H149" s="833">
        <v>16.2</v>
      </c>
      <c r="I149" s="585"/>
      <c r="J149" s="1010"/>
      <c r="K149" s="1010"/>
      <c r="L149" s="1010"/>
      <c r="M149" s="585"/>
    </row>
    <row r="150" spans="1:13" s="582" customFormat="1" ht="15.75">
      <c r="A150" s="700">
        <v>4</v>
      </c>
      <c r="B150" s="727" t="s">
        <v>124</v>
      </c>
      <c r="C150" s="662">
        <v>4199063</v>
      </c>
      <c r="D150" s="663">
        <v>52418</v>
      </c>
      <c r="E150" s="693"/>
      <c r="F150" s="664">
        <v>1</v>
      </c>
      <c r="G150" s="665">
        <v>1</v>
      </c>
      <c r="H150" s="833">
        <v>0.9</v>
      </c>
      <c r="I150" s="585"/>
      <c r="J150" s="1010"/>
      <c r="K150" s="1010"/>
      <c r="L150" s="1010"/>
      <c r="M150" s="585"/>
    </row>
    <row r="151" spans="1:13" s="582" customFormat="1" ht="15.75">
      <c r="A151" s="700">
        <v>4</v>
      </c>
      <c r="B151" s="690" t="s">
        <v>216</v>
      </c>
      <c r="C151" s="662">
        <v>4199046</v>
      </c>
      <c r="D151" s="663">
        <v>52353</v>
      </c>
      <c r="E151" s="693"/>
      <c r="F151" s="664">
        <v>1</v>
      </c>
      <c r="G151" s="665">
        <v>13.8</v>
      </c>
      <c r="H151" s="833">
        <v>13.9</v>
      </c>
      <c r="I151" s="585"/>
      <c r="J151" s="1010"/>
      <c r="K151" s="1010"/>
      <c r="L151" s="1010"/>
      <c r="M151" s="585"/>
    </row>
    <row r="152" spans="1:13" s="582" customFormat="1" ht="15">
      <c r="A152" s="700">
        <v>4</v>
      </c>
      <c r="B152" s="690" t="s">
        <v>734</v>
      </c>
      <c r="C152" s="690" t="s">
        <v>174</v>
      </c>
      <c r="D152" s="663" t="s">
        <v>475</v>
      </c>
      <c r="E152" s="693"/>
      <c r="F152" s="664">
        <v>1</v>
      </c>
      <c r="G152" s="665">
        <v>8</v>
      </c>
      <c r="H152" s="833">
        <v>7.8</v>
      </c>
      <c r="I152" s="585"/>
      <c r="J152" s="1010"/>
      <c r="K152" s="1010"/>
      <c r="L152" s="1010"/>
      <c r="M152" s="585"/>
    </row>
    <row r="153" spans="1:13" s="582" customFormat="1" ht="15.75">
      <c r="A153" s="700">
        <v>4</v>
      </c>
      <c r="B153" s="727" t="s">
        <v>735</v>
      </c>
      <c r="C153" s="710" t="s">
        <v>175</v>
      </c>
      <c r="D153" s="663" t="s">
        <v>624</v>
      </c>
      <c r="E153" s="693"/>
      <c r="F153" s="664">
        <v>1</v>
      </c>
      <c r="G153" s="665">
        <v>0.4</v>
      </c>
      <c r="H153" s="833">
        <v>0.4</v>
      </c>
      <c r="I153" s="585"/>
      <c r="J153" s="1010"/>
      <c r="K153" s="1010"/>
      <c r="L153" s="1010"/>
      <c r="M153" s="585"/>
    </row>
    <row r="154" spans="1:13" s="582" customFormat="1" ht="31.5">
      <c r="A154" s="700">
        <v>4</v>
      </c>
      <c r="B154" s="743" t="s">
        <v>625</v>
      </c>
      <c r="C154" s="710" t="s">
        <v>176</v>
      </c>
      <c r="D154" s="663" t="s">
        <v>626</v>
      </c>
      <c r="E154" s="660"/>
      <c r="F154" s="664">
        <v>1</v>
      </c>
      <c r="G154" s="665">
        <v>48</v>
      </c>
      <c r="H154" s="833">
        <v>47.9</v>
      </c>
      <c r="I154" s="585"/>
      <c r="J154" s="1010"/>
      <c r="K154" s="1010"/>
      <c r="L154" s="1010"/>
      <c r="M154" s="585"/>
    </row>
    <row r="155" spans="1:13" s="582" customFormat="1" ht="15">
      <c r="A155" s="700">
        <v>4</v>
      </c>
      <c r="B155" s="690" t="s">
        <v>627</v>
      </c>
      <c r="C155" s="662">
        <v>4199078</v>
      </c>
      <c r="D155" s="663">
        <v>52441</v>
      </c>
      <c r="E155" s="693"/>
      <c r="F155" s="664">
        <v>1</v>
      </c>
      <c r="G155" s="665">
        <v>113.1</v>
      </c>
      <c r="H155" s="833">
        <v>113.5</v>
      </c>
      <c r="I155" s="585"/>
      <c r="J155" s="1010"/>
      <c r="K155" s="1010"/>
      <c r="L155" s="1010"/>
      <c r="M155" s="585"/>
    </row>
    <row r="156" spans="1:13" s="582" customFormat="1" ht="15.75">
      <c r="A156" s="700">
        <v>4</v>
      </c>
      <c r="B156" s="727" t="s">
        <v>628</v>
      </c>
      <c r="C156" s="662">
        <v>4199318</v>
      </c>
      <c r="D156" s="663">
        <v>49802</v>
      </c>
      <c r="E156" s="693"/>
      <c r="F156" s="664">
        <v>1</v>
      </c>
      <c r="G156" s="665">
        <v>108.3</v>
      </c>
      <c r="H156" s="833">
        <v>109.4</v>
      </c>
      <c r="I156" s="585"/>
      <c r="J156" s="1010"/>
      <c r="K156" s="1010"/>
      <c r="L156" s="1010"/>
      <c r="M156" s="585"/>
    </row>
    <row r="157" spans="1:13" s="582" customFormat="1" ht="15">
      <c r="A157" s="700">
        <v>4</v>
      </c>
      <c r="B157" s="690" t="s">
        <v>629</v>
      </c>
      <c r="C157" s="662">
        <v>4198988</v>
      </c>
      <c r="D157" s="663">
        <v>52160</v>
      </c>
      <c r="E157" s="660"/>
      <c r="F157" s="664">
        <v>1</v>
      </c>
      <c r="G157" s="665">
        <v>11.1</v>
      </c>
      <c r="H157" s="833">
        <v>11.5</v>
      </c>
      <c r="I157" s="585"/>
      <c r="J157" s="1010"/>
      <c r="K157" s="1010"/>
      <c r="L157" s="1010"/>
      <c r="M157" s="585"/>
    </row>
    <row r="158" spans="1:13" s="582" customFormat="1" ht="15">
      <c r="A158" s="700">
        <v>4</v>
      </c>
      <c r="B158" s="690" t="s">
        <v>630</v>
      </c>
      <c r="C158" s="662">
        <v>4198988</v>
      </c>
      <c r="D158" s="663">
        <v>52160</v>
      </c>
      <c r="E158" s="660"/>
      <c r="F158" s="664">
        <v>1</v>
      </c>
      <c r="G158" s="665">
        <v>11.1</v>
      </c>
      <c r="H158" s="833">
        <v>11.5</v>
      </c>
      <c r="I158" s="585"/>
      <c r="J158" s="1010"/>
      <c r="K158" s="1010"/>
      <c r="L158" s="1010"/>
      <c r="M158" s="585"/>
    </row>
    <row r="159" spans="1:13" s="582" customFormat="1" ht="15">
      <c r="A159" s="700">
        <v>4</v>
      </c>
      <c r="B159" s="690" t="s">
        <v>631</v>
      </c>
      <c r="C159" s="662">
        <v>4198988</v>
      </c>
      <c r="D159" s="663">
        <v>52160</v>
      </c>
      <c r="E159" s="660"/>
      <c r="F159" s="664">
        <v>1</v>
      </c>
      <c r="G159" s="665">
        <v>11.1</v>
      </c>
      <c r="H159" s="833">
        <v>11.5</v>
      </c>
      <c r="I159" s="585"/>
      <c r="J159" s="1010"/>
      <c r="K159" s="1010"/>
      <c r="L159" s="1010"/>
      <c r="M159" s="585"/>
    </row>
    <row r="160" spans="1:13" s="582" customFormat="1" ht="15">
      <c r="A160" s="700">
        <v>4</v>
      </c>
      <c r="B160" s="690" t="s">
        <v>632</v>
      </c>
      <c r="C160" s="662">
        <v>4198988</v>
      </c>
      <c r="D160" s="663">
        <v>52160</v>
      </c>
      <c r="E160" s="660"/>
      <c r="F160" s="664">
        <v>1</v>
      </c>
      <c r="G160" s="665">
        <v>11.1</v>
      </c>
      <c r="H160" s="833">
        <v>11.5</v>
      </c>
      <c r="I160" s="585"/>
      <c r="J160" s="1010"/>
      <c r="K160" s="1010"/>
      <c r="L160" s="1010"/>
      <c r="M160" s="585"/>
    </row>
    <row r="161" spans="1:13" s="582" customFormat="1" ht="15">
      <c r="A161" s="700">
        <v>4</v>
      </c>
      <c r="B161" s="690" t="s">
        <v>633</v>
      </c>
      <c r="C161" s="662">
        <v>4198988</v>
      </c>
      <c r="D161" s="663">
        <v>52160</v>
      </c>
      <c r="E161" s="660"/>
      <c r="F161" s="664">
        <v>1</v>
      </c>
      <c r="G161" s="665">
        <v>11.1</v>
      </c>
      <c r="H161" s="833">
        <v>11.5</v>
      </c>
      <c r="I161" s="585"/>
      <c r="M161" s="585"/>
    </row>
    <row r="162" spans="1:13" s="582" customFormat="1" ht="15">
      <c r="A162" s="700">
        <v>4</v>
      </c>
      <c r="B162" s="690" t="s">
        <v>634</v>
      </c>
      <c r="C162" s="662">
        <v>4198988</v>
      </c>
      <c r="D162" s="663">
        <v>52160</v>
      </c>
      <c r="E162" s="660"/>
      <c r="F162" s="664">
        <v>1</v>
      </c>
      <c r="G162" s="665">
        <v>11.1</v>
      </c>
      <c r="H162" s="833">
        <v>11.5</v>
      </c>
      <c r="I162" s="585"/>
      <c r="J162" s="1010"/>
      <c r="K162" s="1010"/>
      <c r="L162" s="1010"/>
      <c r="M162" s="585"/>
    </row>
    <row r="163" spans="1:13" s="582" customFormat="1" ht="15">
      <c r="A163" s="700">
        <v>4</v>
      </c>
      <c r="B163" s="690" t="s">
        <v>217</v>
      </c>
      <c r="C163" s="662">
        <v>4199354</v>
      </c>
      <c r="D163" s="663">
        <v>52241</v>
      </c>
      <c r="E163" s="693"/>
      <c r="F163" s="664">
        <v>1</v>
      </c>
      <c r="G163" s="665">
        <v>65</v>
      </c>
      <c r="H163" s="834">
        <v>64.6</v>
      </c>
      <c r="I163" s="626"/>
      <c r="J163" s="1010"/>
      <c r="K163" s="1010"/>
      <c r="L163" s="1010"/>
      <c r="M163" s="627"/>
    </row>
    <row r="164" spans="1:13" s="582" customFormat="1" ht="15.75">
      <c r="A164" s="700">
        <v>4</v>
      </c>
      <c r="B164" s="727" t="s">
        <v>529</v>
      </c>
      <c r="C164" s="662">
        <v>4199085</v>
      </c>
      <c r="D164" s="663">
        <v>52449</v>
      </c>
      <c r="E164" s="693"/>
      <c r="F164" s="664">
        <v>1</v>
      </c>
      <c r="G164" s="665">
        <v>11.6</v>
      </c>
      <c r="H164" s="833">
        <v>11.5</v>
      </c>
      <c r="I164" s="585"/>
      <c r="J164" s="1010"/>
      <c r="K164" s="1010"/>
      <c r="L164" s="1010"/>
      <c r="M164" s="585"/>
    </row>
    <row r="165" spans="1:13" s="582" customFormat="1" ht="15.75">
      <c r="A165" s="700">
        <v>4</v>
      </c>
      <c r="B165" s="727" t="s">
        <v>530</v>
      </c>
      <c r="C165" s="662">
        <v>4199320</v>
      </c>
      <c r="D165" s="663">
        <v>49804</v>
      </c>
      <c r="E165" s="660"/>
      <c r="F165" s="664">
        <v>1</v>
      </c>
      <c r="G165" s="665">
        <v>40.3</v>
      </c>
      <c r="H165" s="833">
        <v>41.6</v>
      </c>
      <c r="I165" s="585"/>
      <c r="J165" s="1010"/>
      <c r="K165" s="1010"/>
      <c r="L165" s="1010"/>
      <c r="M165" s="585"/>
    </row>
    <row r="166" spans="1:13" s="582" customFormat="1" ht="15.75">
      <c r="A166" s="700">
        <v>4</v>
      </c>
      <c r="B166" s="727" t="s">
        <v>531</v>
      </c>
      <c r="C166" s="662">
        <v>4199366</v>
      </c>
      <c r="D166" s="663">
        <v>52253</v>
      </c>
      <c r="E166" s="660"/>
      <c r="F166" s="664">
        <v>1</v>
      </c>
      <c r="G166" s="665">
        <v>130</v>
      </c>
      <c r="H166" s="833">
        <v>130.9</v>
      </c>
      <c r="I166" s="585"/>
      <c r="J166" s="1010"/>
      <c r="K166" s="1010"/>
      <c r="L166" s="1010"/>
      <c r="M166" s="585"/>
    </row>
    <row r="167" spans="1:13" s="582" customFormat="1" ht="15">
      <c r="A167" s="700">
        <v>4</v>
      </c>
      <c r="B167" s="690" t="s">
        <v>532</v>
      </c>
      <c r="C167" s="662">
        <v>8254</v>
      </c>
      <c r="D167" s="663">
        <v>55203</v>
      </c>
      <c r="E167" s="660"/>
      <c r="F167" s="664">
        <v>1</v>
      </c>
      <c r="G167" s="665">
        <v>0.4</v>
      </c>
      <c r="H167" s="833">
        <v>0.3</v>
      </c>
      <c r="I167" s="585"/>
      <c r="J167" s="1010"/>
      <c r="K167" s="1010"/>
      <c r="L167" s="1010"/>
      <c r="M167" s="585"/>
    </row>
    <row r="168" spans="1:13" s="582" customFormat="1" ht="15.75">
      <c r="A168" s="700">
        <v>4</v>
      </c>
      <c r="B168" s="727" t="s">
        <v>533</v>
      </c>
      <c r="C168" s="662">
        <v>4199044</v>
      </c>
      <c r="D168" s="663">
        <v>52351</v>
      </c>
      <c r="E168" s="693"/>
      <c r="F168" s="664">
        <v>1</v>
      </c>
      <c r="G168" s="665">
        <v>0.7</v>
      </c>
      <c r="H168" s="833">
        <v>0.7</v>
      </c>
      <c r="I168" s="585"/>
      <c r="J168" s="1010"/>
      <c r="K168" s="1010"/>
      <c r="L168" s="1010"/>
      <c r="M168" s="585"/>
    </row>
    <row r="169" spans="1:13" s="582" customFormat="1" ht="15.75">
      <c r="A169" s="700">
        <v>4</v>
      </c>
      <c r="B169" s="727" t="s">
        <v>407</v>
      </c>
      <c r="C169" s="662">
        <v>4199045</v>
      </c>
      <c r="D169" s="663">
        <v>52352</v>
      </c>
      <c r="E169" s="660"/>
      <c r="F169" s="664">
        <v>1</v>
      </c>
      <c r="G169" s="665">
        <v>5.7</v>
      </c>
      <c r="H169" s="833">
        <v>5.7</v>
      </c>
      <c r="I169" s="585"/>
      <c r="J169" s="1010"/>
      <c r="K169" s="1010"/>
      <c r="L169" s="1010"/>
      <c r="M169" s="585"/>
    </row>
    <row r="170" spans="1:13" s="582" customFormat="1" ht="15">
      <c r="A170" s="700">
        <v>4</v>
      </c>
      <c r="B170" s="690" t="s">
        <v>408</v>
      </c>
      <c r="C170" s="662">
        <v>17437</v>
      </c>
      <c r="D170" s="663">
        <v>55229</v>
      </c>
      <c r="E170" s="693"/>
      <c r="F170" s="664">
        <v>1</v>
      </c>
      <c r="G170" s="665">
        <v>2.6</v>
      </c>
      <c r="H170" s="833">
        <v>3</v>
      </c>
      <c r="I170" s="585"/>
      <c r="J170" s="1010"/>
      <c r="K170" s="1010"/>
      <c r="L170" s="1010"/>
      <c r="M170" s="585"/>
    </row>
    <row r="171" spans="1:13" s="582" customFormat="1" ht="15.75">
      <c r="A171" s="700">
        <v>4</v>
      </c>
      <c r="B171" s="727" t="s">
        <v>409</v>
      </c>
      <c r="C171" s="662">
        <v>4199321</v>
      </c>
      <c r="D171" s="663">
        <v>49806</v>
      </c>
      <c r="E171" s="660"/>
      <c r="F171" s="664">
        <v>1</v>
      </c>
      <c r="G171" s="665">
        <v>91.4</v>
      </c>
      <c r="H171" s="833">
        <v>91.5</v>
      </c>
      <c r="I171" s="585"/>
      <c r="J171" s="1010"/>
      <c r="K171" s="1010"/>
      <c r="L171" s="1010"/>
      <c r="M171" s="585"/>
    </row>
    <row r="172" spans="1:13" s="582" customFormat="1" ht="15.75">
      <c r="A172" s="700">
        <v>4</v>
      </c>
      <c r="B172" s="727" t="s">
        <v>410</v>
      </c>
      <c r="C172" s="662">
        <v>4199048</v>
      </c>
      <c r="D172" s="663">
        <v>52357</v>
      </c>
      <c r="E172" s="693"/>
      <c r="F172" s="664">
        <v>1</v>
      </c>
      <c r="G172" s="665">
        <v>3.5</v>
      </c>
      <c r="H172" s="833">
        <v>3.4</v>
      </c>
      <c r="I172" s="585"/>
      <c r="J172" s="1010"/>
      <c r="K172" s="1010"/>
      <c r="L172" s="1010"/>
      <c r="M172" s="585"/>
    </row>
    <row r="173" spans="1:13" s="582" customFormat="1" ht="15.75">
      <c r="A173" s="700">
        <v>4</v>
      </c>
      <c r="B173" s="727" t="s">
        <v>411</v>
      </c>
      <c r="C173" s="662">
        <v>4199429</v>
      </c>
      <c r="D173" s="663">
        <v>55476</v>
      </c>
      <c r="E173" s="660"/>
      <c r="F173" s="664">
        <v>1</v>
      </c>
      <c r="G173" s="665">
        <v>19</v>
      </c>
      <c r="H173" s="833">
        <v>18.5</v>
      </c>
      <c r="I173" s="585"/>
      <c r="J173" s="1010"/>
      <c r="K173" s="1010"/>
      <c r="L173" s="1010"/>
      <c r="M173" s="585"/>
    </row>
    <row r="174" spans="1:13" s="582" customFormat="1" ht="15">
      <c r="A174" s="700">
        <v>4</v>
      </c>
      <c r="B174" s="690" t="s">
        <v>535</v>
      </c>
      <c r="C174" s="662" t="s">
        <v>178</v>
      </c>
      <c r="D174" s="663">
        <v>55296</v>
      </c>
      <c r="E174" s="693"/>
      <c r="F174" s="664">
        <v>1</v>
      </c>
      <c r="G174" s="665">
        <v>2</v>
      </c>
      <c r="H174" s="833">
        <v>2</v>
      </c>
      <c r="I174" s="585"/>
      <c r="J174" s="605"/>
      <c r="K174" s="1010"/>
      <c r="L174" s="1010"/>
      <c r="M174" s="585"/>
    </row>
    <row r="175" spans="1:13" s="582" customFormat="1" ht="15.75">
      <c r="A175" s="739">
        <v>3</v>
      </c>
      <c r="B175" s="744" t="s">
        <v>536</v>
      </c>
      <c r="C175" s="672">
        <v>4199411</v>
      </c>
      <c r="D175" s="696">
        <v>52378</v>
      </c>
      <c r="E175" s="745"/>
      <c r="F175" s="740"/>
      <c r="G175" s="699"/>
      <c r="H175" s="699"/>
      <c r="I175" s="603"/>
      <c r="J175" s="1010"/>
      <c r="K175" s="1010"/>
      <c r="L175" s="1010"/>
      <c r="M175" s="1010"/>
    </row>
    <row r="176" spans="1:13" s="582" customFormat="1" ht="15.75">
      <c r="A176" s="700"/>
      <c r="B176" s="684"/>
      <c r="C176" s="684"/>
      <c r="D176" s="663"/>
      <c r="E176" s="680" t="s">
        <v>865</v>
      </c>
      <c r="F176" s="680"/>
      <c r="G176" s="681"/>
      <c r="H176" s="682">
        <f>SUM(H178:H184,H186:H188)</f>
        <v>383.69999999999993</v>
      </c>
      <c r="I176" s="650" t="s">
        <v>986</v>
      </c>
      <c r="J176" s="557" t="s">
        <v>955</v>
      </c>
      <c r="K176" s="1010"/>
      <c r="L176" s="1010"/>
      <c r="M176" s="1010"/>
    </row>
    <row r="177" spans="1:10" s="582" customFormat="1" ht="15.75">
      <c r="A177" s="700"/>
      <c r="B177" s="684"/>
      <c r="C177" s="684"/>
      <c r="D177" s="685"/>
      <c r="E177" s="680" t="s">
        <v>708</v>
      </c>
      <c r="F177" s="680"/>
      <c r="G177" s="910">
        <v>384</v>
      </c>
      <c r="H177" s="838">
        <v>383.7</v>
      </c>
      <c r="I177" s="650" t="s">
        <v>986</v>
      </c>
      <c r="J177" s="559">
        <f>H177-H176</f>
        <v>0</v>
      </c>
    </row>
    <row r="178" spans="1:13" s="582" customFormat="1" ht="15">
      <c r="A178" s="700">
        <v>4</v>
      </c>
      <c r="B178" s="690" t="s">
        <v>537</v>
      </c>
      <c r="C178" s="662">
        <v>4199322</v>
      </c>
      <c r="D178" s="663">
        <v>49808</v>
      </c>
      <c r="E178" s="693"/>
      <c r="F178" s="664">
        <v>1</v>
      </c>
      <c r="G178" s="665">
        <v>25</v>
      </c>
      <c r="H178" s="833">
        <v>21.8</v>
      </c>
      <c r="I178" s="585"/>
      <c r="J178" s="1010"/>
      <c r="K178" s="1010"/>
      <c r="L178" s="1010"/>
      <c r="M178" s="1010"/>
    </row>
    <row r="179" spans="1:13" s="582" customFormat="1" ht="15">
      <c r="A179" s="700">
        <v>4</v>
      </c>
      <c r="B179" s="690" t="s">
        <v>538</v>
      </c>
      <c r="C179" s="662">
        <v>4199384</v>
      </c>
      <c r="D179" s="663">
        <v>52288</v>
      </c>
      <c r="E179" s="693"/>
      <c r="F179" s="664">
        <v>1</v>
      </c>
      <c r="G179" s="665">
        <v>60.8</v>
      </c>
      <c r="H179" s="833">
        <v>59.7</v>
      </c>
      <c r="I179" s="585"/>
      <c r="J179" s="1010"/>
      <c r="K179" s="1010"/>
      <c r="L179" s="1010"/>
      <c r="M179" s="1010"/>
    </row>
    <row r="180" spans="1:13" s="582" customFormat="1" ht="15">
      <c r="A180" s="700">
        <v>4</v>
      </c>
      <c r="B180" s="690" t="s">
        <v>539</v>
      </c>
      <c r="C180" s="662">
        <v>8254</v>
      </c>
      <c r="D180" s="663">
        <v>55203</v>
      </c>
      <c r="E180" s="693"/>
      <c r="F180" s="664">
        <v>1</v>
      </c>
      <c r="G180" s="665">
        <v>0.2</v>
      </c>
      <c r="H180" s="833">
        <v>0.2</v>
      </c>
      <c r="I180" s="585"/>
      <c r="J180" s="1010"/>
      <c r="K180" s="1010"/>
      <c r="L180" s="1010"/>
      <c r="M180" s="1010"/>
    </row>
    <row r="181" spans="1:13" s="582" customFormat="1" ht="15">
      <c r="A181" s="700">
        <v>4</v>
      </c>
      <c r="B181" s="690" t="s">
        <v>540</v>
      </c>
      <c r="C181" s="662">
        <v>4199092</v>
      </c>
      <c r="D181" s="663">
        <v>52457</v>
      </c>
      <c r="E181" s="693"/>
      <c r="F181" s="664">
        <v>1</v>
      </c>
      <c r="G181" s="665">
        <v>10.5</v>
      </c>
      <c r="H181" s="833">
        <v>10.3</v>
      </c>
      <c r="I181" s="585"/>
      <c r="J181" s="1010"/>
      <c r="K181" s="1010"/>
      <c r="L181" s="1010"/>
      <c r="M181" s="1010"/>
    </row>
    <row r="182" spans="1:13" s="582" customFormat="1" ht="15">
      <c r="A182" s="700">
        <v>4</v>
      </c>
      <c r="B182" s="690" t="s">
        <v>541</v>
      </c>
      <c r="C182" s="662">
        <v>4146090</v>
      </c>
      <c r="D182" s="663">
        <v>55209</v>
      </c>
      <c r="E182" s="693"/>
      <c r="F182" s="664">
        <v>1</v>
      </c>
      <c r="G182" s="665">
        <v>3.1</v>
      </c>
      <c r="H182" s="833">
        <v>3</v>
      </c>
      <c r="I182" s="585"/>
      <c r="J182" s="1010"/>
      <c r="K182" s="1010"/>
      <c r="L182" s="1010"/>
      <c r="M182" s="1010"/>
    </row>
    <row r="183" spans="1:13" s="582" customFormat="1" ht="15">
      <c r="A183" s="700">
        <v>4</v>
      </c>
      <c r="B183" s="690" t="s">
        <v>542</v>
      </c>
      <c r="C183" s="662">
        <v>4199090</v>
      </c>
      <c r="D183" s="663">
        <v>52455</v>
      </c>
      <c r="E183" s="693"/>
      <c r="F183" s="664">
        <v>1</v>
      </c>
      <c r="G183" s="665">
        <v>17.8</v>
      </c>
      <c r="H183" s="833">
        <v>17.6</v>
      </c>
      <c r="I183" s="585"/>
      <c r="J183" s="1010"/>
      <c r="K183" s="1010"/>
      <c r="L183" s="1010"/>
      <c r="M183" s="1010"/>
    </row>
    <row r="184" spans="1:13" s="582" customFormat="1" ht="25.5">
      <c r="A184" s="700">
        <v>4</v>
      </c>
      <c r="B184" s="690" t="s">
        <v>543</v>
      </c>
      <c r="C184" s="710" t="s">
        <v>177</v>
      </c>
      <c r="D184" s="720" t="s">
        <v>544</v>
      </c>
      <c r="E184" s="730"/>
      <c r="F184" s="664">
        <v>1</v>
      </c>
      <c r="G184" s="665">
        <v>225.8</v>
      </c>
      <c r="H184" s="833">
        <v>224.3</v>
      </c>
      <c r="I184" s="585"/>
      <c r="J184" s="1010"/>
      <c r="K184" s="1010"/>
      <c r="L184" s="1010"/>
      <c r="M184" s="1010"/>
    </row>
    <row r="185" spans="1:13" s="582" customFormat="1" ht="15.75">
      <c r="A185" s="700"/>
      <c r="B185" s="679"/>
      <c r="C185" s="662"/>
      <c r="D185" s="720"/>
      <c r="E185" s="842" t="s">
        <v>125</v>
      </c>
      <c r="F185" s="843"/>
      <c r="G185" s="844"/>
      <c r="H185" s="845" t="s">
        <v>106</v>
      </c>
      <c r="I185" s="626"/>
      <c r="J185" s="1010"/>
      <c r="K185" s="1010"/>
      <c r="L185" s="1010"/>
      <c r="M185" s="1010"/>
    </row>
    <row r="186" spans="1:13" s="582" customFormat="1" ht="15">
      <c r="A186" s="700">
        <v>4</v>
      </c>
      <c r="B186" s="690" t="s">
        <v>545</v>
      </c>
      <c r="C186" s="710" t="s">
        <v>178</v>
      </c>
      <c r="D186" s="663" t="s">
        <v>546</v>
      </c>
      <c r="E186" s="693"/>
      <c r="F186" s="664">
        <v>1</v>
      </c>
      <c r="G186" s="665">
        <v>2</v>
      </c>
      <c r="H186" s="833">
        <v>2</v>
      </c>
      <c r="I186" s="585"/>
      <c r="J186" s="1010"/>
      <c r="K186" s="1010"/>
      <c r="L186" s="1010"/>
      <c r="M186" s="1010"/>
    </row>
    <row r="187" spans="1:13" s="582" customFormat="1" ht="15">
      <c r="A187" s="700">
        <v>4</v>
      </c>
      <c r="B187" s="690" t="s">
        <v>547</v>
      </c>
      <c r="C187" s="662">
        <v>4199073</v>
      </c>
      <c r="D187" s="663">
        <v>52431</v>
      </c>
      <c r="E187" s="693"/>
      <c r="F187" s="664">
        <v>1</v>
      </c>
      <c r="G187" s="665">
        <v>25.1</v>
      </c>
      <c r="H187" s="833">
        <v>24.9</v>
      </c>
      <c r="I187" s="585"/>
      <c r="J187" s="1010"/>
      <c r="K187" s="1010"/>
      <c r="L187" s="1010"/>
      <c r="M187" s="1010"/>
    </row>
    <row r="188" spans="1:13" s="582" customFormat="1" ht="15">
      <c r="A188" s="700">
        <v>4</v>
      </c>
      <c r="B188" s="690" t="s">
        <v>656</v>
      </c>
      <c r="C188" s="662">
        <v>4199068</v>
      </c>
      <c r="D188" s="663">
        <v>52425</v>
      </c>
      <c r="E188" s="693"/>
      <c r="F188" s="664">
        <v>1</v>
      </c>
      <c r="G188" s="665">
        <v>14.4</v>
      </c>
      <c r="H188" s="833">
        <v>19.9</v>
      </c>
      <c r="I188" s="585"/>
      <c r="J188" s="1010"/>
      <c r="K188" s="1010"/>
      <c r="L188" s="1010"/>
      <c r="M188" s="1010"/>
    </row>
    <row r="189" spans="1:13" s="582" customFormat="1" ht="15">
      <c r="A189" s="700"/>
      <c r="B189" s="746"/>
      <c r="C189" s="746"/>
      <c r="D189" s="663"/>
      <c r="E189" s="660"/>
      <c r="F189" s="664"/>
      <c r="G189" s="665"/>
      <c r="H189" s="665"/>
      <c r="I189" s="585"/>
      <c r="J189" s="1010"/>
      <c r="K189" s="1010"/>
      <c r="L189" s="1010"/>
      <c r="M189" s="1010"/>
    </row>
    <row r="190" spans="1:10" ht="15.75">
      <c r="A190" s="739">
        <v>3</v>
      </c>
      <c r="B190" s="744" t="s">
        <v>657</v>
      </c>
      <c r="C190" s="672">
        <v>4199397</v>
      </c>
      <c r="D190" s="705">
        <v>52346</v>
      </c>
      <c r="E190" s="705"/>
      <c r="F190" s="740"/>
      <c r="G190" s="699"/>
      <c r="H190" s="699"/>
      <c r="I190" s="603"/>
      <c r="J190" s="582"/>
    </row>
    <row r="191" spans="1:13" s="582" customFormat="1" ht="15.75">
      <c r="A191" s="700"/>
      <c r="B191" s="684"/>
      <c r="C191" s="1022" t="s">
        <v>156</v>
      </c>
      <c r="D191" s="1023"/>
      <c r="E191" s="680" t="s">
        <v>865</v>
      </c>
      <c r="F191" s="680"/>
      <c r="G191" s="681"/>
      <c r="H191" s="682">
        <f>SUM(H193:H211)</f>
        <v>1148.3999999999999</v>
      </c>
      <c r="I191" s="650" t="s">
        <v>986</v>
      </c>
      <c r="J191" s="557" t="s">
        <v>955</v>
      </c>
      <c r="K191" s="1010"/>
      <c r="L191" s="1010"/>
      <c r="M191" s="619"/>
    </row>
    <row r="192" spans="1:13" s="582" customFormat="1" ht="15.75">
      <c r="A192" s="700"/>
      <c r="B192" s="684"/>
      <c r="C192" s="1024"/>
      <c r="D192" s="1025"/>
      <c r="E192" s="680" t="s">
        <v>708</v>
      </c>
      <c r="F192" s="680"/>
      <c r="G192" s="910">
        <v>1146</v>
      </c>
      <c r="H192" s="931">
        <v>1148.4</v>
      </c>
      <c r="I192" s="650" t="s">
        <v>986</v>
      </c>
      <c r="J192" s="559">
        <f>H192-H191</f>
        <v>0</v>
      </c>
      <c r="K192" s="1010"/>
      <c r="L192" s="1010"/>
      <c r="M192" s="621"/>
    </row>
    <row r="193" spans="1:13" s="582" customFormat="1" ht="15">
      <c r="A193" s="700">
        <v>4</v>
      </c>
      <c r="B193" s="690" t="s">
        <v>658</v>
      </c>
      <c r="C193" s="662">
        <v>4199323</v>
      </c>
      <c r="D193" s="663">
        <v>49811</v>
      </c>
      <c r="E193" s="693"/>
      <c r="F193" s="664">
        <v>1</v>
      </c>
      <c r="G193" s="665">
        <v>138.4</v>
      </c>
      <c r="H193" s="833">
        <v>137.4</v>
      </c>
      <c r="I193" s="585"/>
      <c r="M193" s="585"/>
    </row>
    <row r="194" spans="1:13" s="582" customFormat="1" ht="15">
      <c r="A194" s="700">
        <v>4</v>
      </c>
      <c r="B194" s="690" t="s">
        <v>659</v>
      </c>
      <c r="C194" s="662">
        <v>4206402</v>
      </c>
      <c r="D194" s="663">
        <v>56874</v>
      </c>
      <c r="E194" s="693"/>
      <c r="F194" s="664">
        <v>1</v>
      </c>
      <c r="G194" s="665">
        <v>96.9</v>
      </c>
      <c r="H194" s="833">
        <v>94.3</v>
      </c>
      <c r="I194" s="585"/>
      <c r="J194" s="1010"/>
      <c r="K194" s="1010"/>
      <c r="L194" s="1010"/>
      <c r="M194" s="585"/>
    </row>
    <row r="195" spans="1:13" s="582" customFormat="1" ht="15">
      <c r="A195" s="700">
        <v>4</v>
      </c>
      <c r="B195" s="690" t="s">
        <v>660</v>
      </c>
      <c r="C195" s="662">
        <v>4199233</v>
      </c>
      <c r="D195" s="663">
        <v>55459</v>
      </c>
      <c r="E195" s="693"/>
      <c r="F195" s="664">
        <v>1</v>
      </c>
      <c r="G195" s="665">
        <v>18.4</v>
      </c>
      <c r="H195" s="833">
        <v>12.3</v>
      </c>
      <c r="I195" s="585"/>
      <c r="J195" s="584"/>
      <c r="K195" s="1010"/>
      <c r="L195" s="1010"/>
      <c r="M195" s="585"/>
    </row>
    <row r="196" spans="1:13" s="582" customFormat="1" ht="15">
      <c r="A196" s="700">
        <v>4</v>
      </c>
      <c r="B196" s="690" t="s">
        <v>661</v>
      </c>
      <c r="C196" s="710">
        <v>4199474</v>
      </c>
      <c r="D196" s="663">
        <v>56798</v>
      </c>
      <c r="E196" s="693"/>
      <c r="F196" s="664">
        <v>1</v>
      </c>
      <c r="G196" s="665">
        <v>324.4</v>
      </c>
      <c r="H196" s="833">
        <v>334.4</v>
      </c>
      <c r="I196" s="585"/>
      <c r="J196" s="1010"/>
      <c r="K196" s="1010"/>
      <c r="L196" s="1010"/>
      <c r="M196" s="585"/>
    </row>
    <row r="197" spans="1:13" s="582" customFormat="1" ht="30">
      <c r="A197" s="700">
        <v>4</v>
      </c>
      <c r="B197" s="689" t="s">
        <v>662</v>
      </c>
      <c r="C197" s="662" t="s">
        <v>58</v>
      </c>
      <c r="D197" s="663" t="s">
        <v>59</v>
      </c>
      <c r="E197" s="693"/>
      <c r="F197" s="664">
        <v>1</v>
      </c>
      <c r="G197" s="665">
        <v>23.9</v>
      </c>
      <c r="H197" s="833">
        <v>23.3</v>
      </c>
      <c r="I197" s="585"/>
      <c r="J197" s="1010"/>
      <c r="K197" s="1010"/>
      <c r="L197" s="1010"/>
      <c r="M197" s="585"/>
    </row>
    <row r="198" spans="1:13" s="582" customFormat="1" ht="15">
      <c r="A198" s="700">
        <v>4</v>
      </c>
      <c r="B198" s="690" t="s">
        <v>663</v>
      </c>
      <c r="C198" s="662">
        <v>4199069</v>
      </c>
      <c r="D198" s="663">
        <v>52426</v>
      </c>
      <c r="E198" s="693"/>
      <c r="F198" s="664">
        <v>1</v>
      </c>
      <c r="G198" s="665">
        <v>26.9</v>
      </c>
      <c r="H198" s="833">
        <v>26.8</v>
      </c>
      <c r="I198" s="585"/>
      <c r="J198" s="1010"/>
      <c r="K198" s="1010"/>
      <c r="L198" s="1010"/>
      <c r="M198" s="585"/>
    </row>
    <row r="199" spans="1:13" s="582" customFormat="1" ht="15">
      <c r="A199" s="700">
        <v>4</v>
      </c>
      <c r="B199" s="690" t="s">
        <v>664</v>
      </c>
      <c r="C199" s="662">
        <v>4199083</v>
      </c>
      <c r="D199" s="663">
        <v>52447</v>
      </c>
      <c r="E199" s="693"/>
      <c r="F199" s="664">
        <v>1</v>
      </c>
      <c r="G199" s="665">
        <v>25.3</v>
      </c>
      <c r="H199" s="833">
        <v>25.8</v>
      </c>
      <c r="I199" s="585"/>
      <c r="J199" s="1010"/>
      <c r="K199" s="1010"/>
      <c r="L199" s="1010"/>
      <c r="M199" s="585"/>
    </row>
    <row r="200" spans="1:13" s="582" customFormat="1" ht="15">
      <c r="A200" s="700">
        <v>4</v>
      </c>
      <c r="B200" s="690" t="s">
        <v>665</v>
      </c>
      <c r="C200" s="662">
        <v>4199070</v>
      </c>
      <c r="D200" s="663">
        <v>52427</v>
      </c>
      <c r="E200" s="693"/>
      <c r="F200" s="664">
        <v>1</v>
      </c>
      <c r="G200" s="665">
        <v>11</v>
      </c>
      <c r="H200" s="833">
        <v>8.6</v>
      </c>
      <c r="I200" s="585"/>
      <c r="J200" s="1010"/>
      <c r="K200" s="1010"/>
      <c r="L200" s="1010"/>
      <c r="M200" s="585"/>
    </row>
    <row r="201" spans="1:13" s="582" customFormat="1" ht="15">
      <c r="A201" s="700">
        <v>4</v>
      </c>
      <c r="B201" s="690" t="s">
        <v>666</v>
      </c>
      <c r="C201" s="662">
        <v>4210092</v>
      </c>
      <c r="D201" s="663">
        <v>55477</v>
      </c>
      <c r="E201" s="693"/>
      <c r="F201" s="664">
        <v>1</v>
      </c>
      <c r="G201" s="665">
        <v>1.7</v>
      </c>
      <c r="H201" s="833">
        <v>1.9</v>
      </c>
      <c r="I201" s="585"/>
      <c r="J201" s="1010"/>
      <c r="K201" s="1010"/>
      <c r="L201" s="1010"/>
      <c r="M201" s="585"/>
    </row>
    <row r="202" spans="1:13" s="582" customFormat="1" ht="15">
      <c r="A202" s="700">
        <v>4</v>
      </c>
      <c r="B202" s="690" t="s">
        <v>667</v>
      </c>
      <c r="C202" s="662">
        <v>4199324</v>
      </c>
      <c r="D202" s="663">
        <v>56943</v>
      </c>
      <c r="E202" s="693"/>
      <c r="F202" s="664">
        <v>1</v>
      </c>
      <c r="G202" s="665">
        <v>430.9</v>
      </c>
      <c r="H202" s="833">
        <v>422.5</v>
      </c>
      <c r="I202" s="585"/>
      <c r="J202" s="1010"/>
      <c r="K202" s="1010"/>
      <c r="L202" s="1010"/>
      <c r="M202" s="585"/>
    </row>
    <row r="203" spans="1:13" s="582" customFormat="1" ht="15">
      <c r="A203" s="700">
        <v>4</v>
      </c>
      <c r="B203" s="690" t="s">
        <v>668</v>
      </c>
      <c r="C203" s="662" t="s">
        <v>57</v>
      </c>
      <c r="D203" s="663" t="s">
        <v>56</v>
      </c>
      <c r="E203" s="693"/>
      <c r="F203" s="664">
        <v>1</v>
      </c>
      <c r="G203" s="665">
        <v>7.4</v>
      </c>
      <c r="H203" s="833">
        <v>7.5</v>
      </c>
      <c r="I203" s="585"/>
      <c r="J203" s="1010"/>
      <c r="K203" s="1010"/>
      <c r="L203" s="1010"/>
      <c r="M203" s="585"/>
    </row>
    <row r="204" spans="1:13" s="582" customFormat="1" ht="15">
      <c r="A204" s="700">
        <v>4</v>
      </c>
      <c r="B204" s="690" t="s">
        <v>669</v>
      </c>
      <c r="C204" s="662">
        <v>4199418</v>
      </c>
      <c r="D204" s="663">
        <v>55299</v>
      </c>
      <c r="E204" s="693"/>
      <c r="F204" s="664">
        <v>1</v>
      </c>
      <c r="G204" s="665">
        <v>12.3</v>
      </c>
      <c r="H204" s="833">
        <v>12.5</v>
      </c>
      <c r="I204" s="585"/>
      <c r="J204" s="1010"/>
      <c r="K204" s="1010"/>
      <c r="L204" s="1010"/>
      <c r="M204" s="585"/>
    </row>
    <row r="205" spans="1:13" s="582" customFormat="1" ht="15">
      <c r="A205" s="700">
        <v>4</v>
      </c>
      <c r="B205" s="690" t="s">
        <v>670</v>
      </c>
      <c r="C205" s="662">
        <v>4199418</v>
      </c>
      <c r="D205" s="663">
        <v>55299</v>
      </c>
      <c r="E205" s="693"/>
      <c r="F205" s="664">
        <v>1</v>
      </c>
      <c r="G205" s="665">
        <v>12.4</v>
      </c>
      <c r="H205" s="833">
        <v>12.5</v>
      </c>
      <c r="I205" s="585"/>
      <c r="J205" s="841"/>
      <c r="K205" s="1010"/>
      <c r="L205" s="1010"/>
      <c r="M205" s="585"/>
    </row>
    <row r="206" spans="1:13" s="582" customFormat="1" ht="15">
      <c r="A206" s="700">
        <v>4</v>
      </c>
      <c r="B206" s="690" t="s">
        <v>126</v>
      </c>
      <c r="C206" s="662" t="s">
        <v>60</v>
      </c>
      <c r="D206" s="663" t="s">
        <v>475</v>
      </c>
      <c r="E206" s="693"/>
      <c r="F206" s="664">
        <v>1</v>
      </c>
      <c r="G206" s="665">
        <v>4.1</v>
      </c>
      <c r="H206" s="833">
        <v>4.5</v>
      </c>
      <c r="I206" s="585"/>
      <c r="J206" s="841"/>
      <c r="K206" s="1010"/>
      <c r="L206" s="1010"/>
      <c r="M206" s="585"/>
    </row>
    <row r="207" spans="1:13" s="582" customFormat="1" ht="15">
      <c r="A207" s="700">
        <v>4</v>
      </c>
      <c r="B207" s="690" t="s">
        <v>672</v>
      </c>
      <c r="C207" s="710" t="s">
        <v>179</v>
      </c>
      <c r="D207" s="663" t="s">
        <v>673</v>
      </c>
      <c r="E207" s="660"/>
      <c r="F207" s="664">
        <v>1</v>
      </c>
      <c r="G207" s="665">
        <v>5</v>
      </c>
      <c r="H207" s="833">
        <v>5</v>
      </c>
      <c r="I207" s="585"/>
      <c r="J207" s="841"/>
      <c r="K207" s="1010"/>
      <c r="L207" s="1010"/>
      <c r="M207" s="585"/>
    </row>
    <row r="208" spans="1:13" ht="15">
      <c r="A208" s="700">
        <v>4</v>
      </c>
      <c r="B208" s="690" t="s">
        <v>674</v>
      </c>
      <c r="C208" s="710" t="s">
        <v>180</v>
      </c>
      <c r="D208" s="663" t="s">
        <v>675</v>
      </c>
      <c r="E208" s="660"/>
      <c r="F208" s="664">
        <v>1</v>
      </c>
      <c r="G208" s="665">
        <v>7</v>
      </c>
      <c r="H208" s="833">
        <v>6.4</v>
      </c>
      <c r="I208" s="585"/>
      <c r="J208"/>
      <c r="M208" s="585"/>
    </row>
    <row r="209" spans="1:13" s="582" customFormat="1" ht="15.75">
      <c r="A209" s="700">
        <v>4</v>
      </c>
      <c r="B209" s="690" t="s">
        <v>588</v>
      </c>
      <c r="C209" s="710" t="s">
        <v>180</v>
      </c>
      <c r="D209" s="663" t="s">
        <v>675</v>
      </c>
      <c r="E209" s="660"/>
      <c r="F209" s="664">
        <v>1</v>
      </c>
      <c r="G209" s="665">
        <v>7</v>
      </c>
      <c r="H209" s="833">
        <v>6.3</v>
      </c>
      <c r="I209" s="585"/>
      <c r="J209" s="590"/>
      <c r="M209" s="585"/>
    </row>
    <row r="210" spans="1:13" s="582" customFormat="1" ht="30">
      <c r="A210" s="700">
        <v>4</v>
      </c>
      <c r="B210" s="689" t="s">
        <v>589</v>
      </c>
      <c r="C210" s="710" t="s">
        <v>180</v>
      </c>
      <c r="D210" s="663" t="s">
        <v>675</v>
      </c>
      <c r="E210" s="660"/>
      <c r="F210" s="664">
        <v>1</v>
      </c>
      <c r="G210" s="665">
        <v>7</v>
      </c>
      <c r="H210" s="833">
        <v>6.4</v>
      </c>
      <c r="I210" s="585"/>
      <c r="J210" s="1010"/>
      <c r="K210" s="1010"/>
      <c r="L210" s="1010"/>
      <c r="M210" s="585"/>
    </row>
    <row r="211" spans="1:13" s="582" customFormat="1" ht="15.75">
      <c r="A211" s="885"/>
      <c r="B211" s="886" t="s">
        <v>590</v>
      </c>
      <c r="C211" s="887"/>
      <c r="D211" s="888"/>
      <c r="E211" s="885"/>
      <c r="F211" s="885"/>
      <c r="G211" s="885"/>
      <c r="H211" s="889"/>
      <c r="I211" s="629"/>
      <c r="J211" s="1010"/>
      <c r="K211" s="1010"/>
      <c r="L211" s="1010"/>
      <c r="M211" s="629"/>
    </row>
    <row r="212" spans="1:13" s="584" customFormat="1" ht="40.5" customHeight="1">
      <c r="A212" s="700">
        <v>3</v>
      </c>
      <c r="B212" s="689" t="s">
        <v>591</v>
      </c>
      <c r="C212" s="747" t="s">
        <v>74</v>
      </c>
      <c r="D212" s="708" t="s">
        <v>592</v>
      </c>
      <c r="E212" s="722"/>
      <c r="F212" s="664">
        <v>1</v>
      </c>
      <c r="G212" s="665">
        <v>39.9</v>
      </c>
      <c r="H212" s="833">
        <v>41</v>
      </c>
      <c r="I212" s="585"/>
      <c r="J212" s="582"/>
      <c r="M212" s="585"/>
    </row>
    <row r="213" spans="1:13" s="582" customFormat="1" ht="45">
      <c r="A213" s="700">
        <v>3</v>
      </c>
      <c r="B213" s="689" t="s">
        <v>593</v>
      </c>
      <c r="C213" s="747" t="s">
        <v>75</v>
      </c>
      <c r="D213" s="708" t="s">
        <v>469</v>
      </c>
      <c r="E213" s="722"/>
      <c r="F213" s="664">
        <v>1</v>
      </c>
      <c r="G213" s="665">
        <v>37.9</v>
      </c>
      <c r="H213" s="833">
        <v>38.6</v>
      </c>
      <c r="I213" s="585"/>
      <c r="J213" s="1010"/>
      <c r="K213" s="1010"/>
      <c r="L213" s="1010"/>
      <c r="M213" s="585"/>
    </row>
    <row r="214" spans="1:13" s="582" customFormat="1" ht="30">
      <c r="A214" s="700">
        <v>3</v>
      </c>
      <c r="B214" s="690" t="s">
        <v>470</v>
      </c>
      <c r="C214" s="747" t="s">
        <v>76</v>
      </c>
      <c r="D214" s="720" t="s">
        <v>471</v>
      </c>
      <c r="E214" s="730"/>
      <c r="F214" s="664">
        <v>1</v>
      </c>
      <c r="G214" s="665">
        <v>1.9</v>
      </c>
      <c r="H214" s="833">
        <v>2.1</v>
      </c>
      <c r="I214" s="585"/>
      <c r="J214" s="604"/>
      <c r="K214" s="1010"/>
      <c r="L214" s="1010"/>
      <c r="M214" s="585"/>
    </row>
    <row r="215" spans="1:13" s="582" customFormat="1" ht="15">
      <c r="A215" s="660">
        <v>3</v>
      </c>
      <c r="B215" s="690" t="s">
        <v>472</v>
      </c>
      <c r="C215" s="747" t="s">
        <v>174</v>
      </c>
      <c r="D215" s="663" t="s">
        <v>475</v>
      </c>
      <c r="E215" s="693"/>
      <c r="F215" s="664">
        <v>1</v>
      </c>
      <c r="G215" s="665">
        <v>2.7</v>
      </c>
      <c r="H215" s="833">
        <v>2.6</v>
      </c>
      <c r="I215" s="585"/>
      <c r="J215" s="1010"/>
      <c r="K215" s="1010"/>
      <c r="L215" s="1010"/>
      <c r="M215" s="585"/>
    </row>
    <row r="216" spans="1:13" s="582" customFormat="1" ht="15">
      <c r="A216" s="700">
        <v>3</v>
      </c>
      <c r="B216" s="690" t="s">
        <v>326</v>
      </c>
      <c r="C216" s="747" t="s">
        <v>174</v>
      </c>
      <c r="D216" s="663" t="s">
        <v>475</v>
      </c>
      <c r="E216" s="693"/>
      <c r="F216" s="664">
        <v>1</v>
      </c>
      <c r="G216" s="665">
        <v>5.4</v>
      </c>
      <c r="H216" s="833">
        <v>5.4</v>
      </c>
      <c r="I216" s="585"/>
      <c r="J216" s="1010"/>
      <c r="K216" s="1010"/>
      <c r="L216" s="1010"/>
      <c r="M216" s="585"/>
    </row>
    <row r="217" spans="1:13" s="582" customFormat="1" ht="15">
      <c r="A217" s="700"/>
      <c r="B217" s="660" t="s">
        <v>327</v>
      </c>
      <c r="C217" s="748"/>
      <c r="D217" s="663"/>
      <c r="E217" s="660"/>
      <c r="F217" s="664"/>
      <c r="G217" s="665"/>
      <c r="H217" s="833"/>
      <c r="I217" s="585"/>
      <c r="J217" s="1010"/>
      <c r="K217" s="1010"/>
      <c r="L217" s="1010"/>
      <c r="M217" s="585"/>
    </row>
    <row r="218" spans="1:13" s="582" customFormat="1" ht="15">
      <c r="A218" s="700">
        <v>3</v>
      </c>
      <c r="B218" s="690" t="s">
        <v>328</v>
      </c>
      <c r="C218" s="662">
        <v>4199419</v>
      </c>
      <c r="D218" s="663">
        <v>55302</v>
      </c>
      <c r="E218" s="693"/>
      <c r="F218" s="664">
        <v>1</v>
      </c>
      <c r="G218" s="665">
        <v>25</v>
      </c>
      <c r="H218" s="833">
        <v>25</v>
      </c>
      <c r="I218" s="585"/>
      <c r="J218" s="1010"/>
      <c r="K218" s="1010"/>
      <c r="L218" s="1010"/>
      <c r="M218" s="585"/>
    </row>
    <row r="219" spans="1:13" s="582" customFormat="1" ht="15.75">
      <c r="A219" s="700"/>
      <c r="B219" s="690"/>
      <c r="C219" s="662"/>
      <c r="D219" s="663"/>
      <c r="E219" s="842" t="s">
        <v>241</v>
      </c>
      <c r="F219" s="843"/>
      <c r="G219" s="844"/>
      <c r="H219" s="845" t="s">
        <v>107</v>
      </c>
      <c r="I219" s="585"/>
      <c r="J219" s="1010"/>
      <c r="K219" s="1010"/>
      <c r="L219" s="1010"/>
      <c r="M219" s="585"/>
    </row>
    <row r="220" spans="1:13" s="582" customFormat="1" ht="15">
      <c r="A220" s="700">
        <v>3</v>
      </c>
      <c r="B220" s="690" t="s">
        <v>477</v>
      </c>
      <c r="C220" s="662">
        <v>4199423</v>
      </c>
      <c r="D220" s="663">
        <v>55385</v>
      </c>
      <c r="E220" s="660"/>
      <c r="F220" s="664">
        <v>1</v>
      </c>
      <c r="G220" s="665">
        <v>33.9</v>
      </c>
      <c r="H220" s="833">
        <v>33.6</v>
      </c>
      <c r="I220" s="585"/>
      <c r="J220" s="1010"/>
      <c r="K220" s="1010"/>
      <c r="L220" s="1010"/>
      <c r="M220" s="585"/>
    </row>
    <row r="221" spans="1:13" s="582" customFormat="1" ht="15">
      <c r="A221" s="700">
        <v>3</v>
      </c>
      <c r="B221" s="690" t="s">
        <v>478</v>
      </c>
      <c r="C221" s="662">
        <v>4199373</v>
      </c>
      <c r="D221" s="663">
        <v>52261</v>
      </c>
      <c r="E221" s="660"/>
      <c r="F221" s="664">
        <v>1</v>
      </c>
      <c r="G221" s="665">
        <v>4</v>
      </c>
      <c r="H221" s="833">
        <v>3.2</v>
      </c>
      <c r="I221" s="585"/>
      <c r="J221" s="1010"/>
      <c r="K221" s="1010"/>
      <c r="L221" s="1010"/>
      <c r="M221" s="585"/>
    </row>
    <row r="222" spans="1:13" s="582" customFormat="1" ht="15">
      <c r="A222" s="700">
        <v>3</v>
      </c>
      <c r="B222" s="690" t="s">
        <v>479</v>
      </c>
      <c r="C222" s="710" t="s">
        <v>77</v>
      </c>
      <c r="D222" s="663" t="s">
        <v>480</v>
      </c>
      <c r="E222" s="660"/>
      <c r="F222" s="664">
        <v>1</v>
      </c>
      <c r="G222" s="665">
        <v>20.6</v>
      </c>
      <c r="H222" s="833">
        <v>20.4</v>
      </c>
      <c r="I222" s="585"/>
      <c r="J222" s="1010"/>
      <c r="K222" s="1010"/>
      <c r="L222" s="1010"/>
      <c r="M222" s="585"/>
    </row>
    <row r="223" spans="1:13" s="582" customFormat="1" ht="15">
      <c r="A223" s="700">
        <v>3</v>
      </c>
      <c r="B223" s="690" t="s">
        <v>481</v>
      </c>
      <c r="C223" s="662">
        <v>4199425</v>
      </c>
      <c r="D223" s="663">
        <v>55388</v>
      </c>
      <c r="E223" s="660"/>
      <c r="F223" s="664">
        <v>1</v>
      </c>
      <c r="G223" s="665">
        <v>22.4</v>
      </c>
      <c r="H223" s="833">
        <v>22.5</v>
      </c>
      <c r="I223" s="585"/>
      <c r="J223" s="1010"/>
      <c r="K223" s="1010"/>
      <c r="L223" s="1010"/>
      <c r="M223" s="585"/>
    </row>
    <row r="224" spans="1:13" s="582" customFormat="1" ht="15">
      <c r="A224" s="700">
        <v>3</v>
      </c>
      <c r="B224" s="690" t="s">
        <v>482</v>
      </c>
      <c r="C224" s="662">
        <v>4199372</v>
      </c>
      <c r="D224" s="663">
        <v>52260</v>
      </c>
      <c r="E224" s="660"/>
      <c r="F224" s="664">
        <v>1</v>
      </c>
      <c r="G224" s="665">
        <v>5.7</v>
      </c>
      <c r="H224" s="833">
        <v>5.4</v>
      </c>
      <c r="I224" s="585"/>
      <c r="J224" s="1010"/>
      <c r="K224" s="1010"/>
      <c r="L224" s="1010"/>
      <c r="M224" s="585"/>
    </row>
    <row r="225" spans="1:13" s="582" customFormat="1" ht="15">
      <c r="A225" s="700">
        <v>3</v>
      </c>
      <c r="B225" s="690" t="s">
        <v>483</v>
      </c>
      <c r="C225" s="710" t="s">
        <v>78</v>
      </c>
      <c r="D225" s="663" t="s">
        <v>484</v>
      </c>
      <c r="E225" s="660"/>
      <c r="F225" s="664">
        <v>1</v>
      </c>
      <c r="G225" s="665">
        <v>16.5</v>
      </c>
      <c r="H225" s="833">
        <v>14.7</v>
      </c>
      <c r="I225" s="585"/>
      <c r="M225" s="585"/>
    </row>
    <row r="226" spans="1:28" s="582" customFormat="1" ht="15">
      <c r="A226" s="700">
        <v>3</v>
      </c>
      <c r="B226" s="690" t="s">
        <v>485</v>
      </c>
      <c r="C226" s="662">
        <v>4199436</v>
      </c>
      <c r="D226" s="663">
        <v>55524</v>
      </c>
      <c r="E226" s="660"/>
      <c r="F226" s="664">
        <v>0</v>
      </c>
      <c r="G226" s="665">
        <v>23.3</v>
      </c>
      <c r="H226" s="833"/>
      <c r="I226" s="585"/>
      <c r="J226" s="1010"/>
      <c r="K226" s="1010"/>
      <c r="L226" s="1010"/>
      <c r="M226" s="585"/>
      <c r="N226" s="1010"/>
      <c r="O226" s="1010"/>
      <c r="P226" s="1010"/>
      <c r="Q226" s="1010"/>
      <c r="R226" s="1010"/>
      <c r="S226" s="1010"/>
      <c r="T226" s="1010"/>
      <c r="U226" s="1010"/>
      <c r="V226" s="1010"/>
      <c r="W226" s="1010"/>
      <c r="X226" s="1010"/>
      <c r="Y226" s="1010"/>
      <c r="Z226" s="1010"/>
      <c r="AA226" s="1010"/>
      <c r="AB226" s="1010"/>
    </row>
    <row r="227" spans="1:13" s="590" customFormat="1" ht="15.75">
      <c r="A227" s="700">
        <v>3</v>
      </c>
      <c r="B227" s="690" t="s">
        <v>486</v>
      </c>
      <c r="C227" s="662">
        <v>4199377</v>
      </c>
      <c r="D227" s="663">
        <v>52265</v>
      </c>
      <c r="E227" s="660"/>
      <c r="F227" s="664">
        <v>0</v>
      </c>
      <c r="G227" s="665">
        <v>6.1</v>
      </c>
      <c r="H227" s="833"/>
      <c r="I227" s="585"/>
      <c r="J227" s="582"/>
      <c r="L227" s="582"/>
      <c r="M227" s="585"/>
    </row>
    <row r="228" spans="1:28" s="582" customFormat="1" ht="15">
      <c r="A228" s="700">
        <v>3</v>
      </c>
      <c r="B228" s="690" t="s">
        <v>608</v>
      </c>
      <c r="C228" s="662">
        <v>4199361</v>
      </c>
      <c r="D228" s="663">
        <v>52248</v>
      </c>
      <c r="E228" s="693"/>
      <c r="F228" s="664">
        <v>1</v>
      </c>
      <c r="G228" s="665">
        <v>29.1</v>
      </c>
      <c r="H228" s="833">
        <v>29.5</v>
      </c>
      <c r="I228" s="585"/>
      <c r="J228" s="1010"/>
      <c r="K228" s="1010"/>
      <c r="L228" s="1010"/>
      <c r="M228" s="585"/>
      <c r="N228" s="1010"/>
      <c r="O228" s="1010"/>
      <c r="P228" s="1010"/>
      <c r="Q228" s="1010"/>
      <c r="R228" s="1010"/>
      <c r="S228" s="1010"/>
      <c r="T228" s="1010"/>
      <c r="U228" s="1010"/>
      <c r="V228" s="1010"/>
      <c r="W228" s="1010"/>
      <c r="X228" s="1010"/>
      <c r="Y228" s="1010"/>
      <c r="Z228" s="1010"/>
      <c r="AA228" s="1010"/>
      <c r="AB228" s="1010"/>
    </row>
    <row r="229" spans="1:28" s="582" customFormat="1" ht="15">
      <c r="A229" s="700">
        <v>3</v>
      </c>
      <c r="B229" s="690" t="s">
        <v>609</v>
      </c>
      <c r="C229" s="662">
        <v>4199362</v>
      </c>
      <c r="D229" s="663">
        <v>52249</v>
      </c>
      <c r="E229" s="693"/>
      <c r="F229" s="664">
        <v>1</v>
      </c>
      <c r="G229" s="665">
        <v>36.9</v>
      </c>
      <c r="H229" s="833">
        <v>37.8</v>
      </c>
      <c r="I229" s="585"/>
      <c r="J229" s="584"/>
      <c r="K229" s="1010"/>
      <c r="L229" s="1010"/>
      <c r="M229" s="585"/>
      <c r="N229" s="1010"/>
      <c r="O229" s="1010"/>
      <c r="P229" s="1010"/>
      <c r="Q229" s="1010"/>
      <c r="R229" s="1010"/>
      <c r="S229" s="1010"/>
      <c r="T229" s="1010"/>
      <c r="U229" s="1010"/>
      <c r="V229" s="1010"/>
      <c r="W229" s="1010"/>
      <c r="X229" s="1010"/>
      <c r="Y229" s="1010"/>
      <c r="Z229" s="1010"/>
      <c r="AA229" s="1010"/>
      <c r="AB229" s="1010"/>
    </row>
    <row r="230" spans="1:28" s="582" customFormat="1" ht="45">
      <c r="A230" s="700">
        <v>3</v>
      </c>
      <c r="B230" s="689" t="s">
        <v>610</v>
      </c>
      <c r="C230" s="662">
        <v>4199407</v>
      </c>
      <c r="D230" s="663">
        <v>52368</v>
      </c>
      <c r="E230" s="660"/>
      <c r="F230" s="664">
        <v>1</v>
      </c>
      <c r="G230" s="665">
        <v>289.2</v>
      </c>
      <c r="H230" s="833">
        <v>288.1</v>
      </c>
      <c r="I230" s="585"/>
      <c r="J230" s="1010"/>
      <c r="K230" s="1010"/>
      <c r="L230" s="630"/>
      <c r="M230" s="630"/>
      <c r="N230" s="1010"/>
      <c r="O230" s="1010"/>
      <c r="P230" s="1010"/>
      <c r="Q230" s="1010"/>
      <c r="R230" s="1010"/>
      <c r="S230" s="1010"/>
      <c r="T230" s="1010"/>
      <c r="U230" s="1010"/>
      <c r="V230" s="1010"/>
      <c r="W230" s="1010"/>
      <c r="X230" s="1010"/>
      <c r="Y230" s="1010"/>
      <c r="Z230" s="1010"/>
      <c r="AA230" s="1010"/>
      <c r="AB230" s="1010"/>
    </row>
    <row r="231" spans="1:28" s="582" customFormat="1" ht="15.75">
      <c r="A231" s="700"/>
      <c r="B231" s="679"/>
      <c r="C231" s="662"/>
      <c r="D231" s="663"/>
      <c r="E231" s="842" t="s">
        <v>127</v>
      </c>
      <c r="F231" s="843"/>
      <c r="G231" s="844"/>
      <c r="H231" s="845" t="s">
        <v>108</v>
      </c>
      <c r="I231" s="626"/>
      <c r="J231" s="1010"/>
      <c r="K231" s="1010"/>
      <c r="L231" s="1010"/>
      <c r="M231" s="626"/>
      <c r="N231" s="1010"/>
      <c r="O231" s="1010"/>
      <c r="P231" s="1010"/>
      <c r="Q231" s="1010"/>
      <c r="R231" s="1010"/>
      <c r="S231" s="1010"/>
      <c r="T231" s="1010"/>
      <c r="U231" s="1010"/>
      <c r="V231" s="1010"/>
      <c r="W231" s="1010"/>
      <c r="X231" s="1010"/>
      <c r="Y231" s="1010"/>
      <c r="Z231" s="1010"/>
      <c r="AA231" s="1010"/>
      <c r="AB231" s="1010"/>
    </row>
    <row r="232" spans="1:28" s="582" customFormat="1" ht="60">
      <c r="A232" s="700">
        <v>3</v>
      </c>
      <c r="B232" s="748" t="s">
        <v>240</v>
      </c>
      <c r="C232" s="748" t="s">
        <v>378</v>
      </c>
      <c r="D232" s="707" t="s">
        <v>804</v>
      </c>
      <c r="E232" s="749"/>
      <c r="F232" s="713">
        <v>1</v>
      </c>
      <c r="G232" s="665">
        <v>89</v>
      </c>
      <c r="H232" s="833">
        <v>84.7</v>
      </c>
      <c r="I232" s="585"/>
      <c r="J232" s="631"/>
      <c r="K232" s="632"/>
      <c r="L232" s="585"/>
      <c r="M232" s="585"/>
      <c r="N232" s="608"/>
      <c r="O232" s="633"/>
      <c r="P232" s="608"/>
      <c r="Q232" s="1010"/>
      <c r="R232" s="1010"/>
      <c r="S232" s="1010"/>
      <c r="T232" s="633"/>
      <c r="U232" s="1010"/>
      <c r="V232" s="1010"/>
      <c r="W232" s="1010"/>
      <c r="X232" s="1010"/>
      <c r="Y232" s="1010"/>
      <c r="Z232" s="1010"/>
      <c r="AA232" s="1010"/>
      <c r="AB232" s="1010"/>
    </row>
    <row r="233" spans="1:19" s="584" customFormat="1" ht="15">
      <c r="A233" s="700"/>
      <c r="B233" s="690"/>
      <c r="C233" s="662"/>
      <c r="D233" s="663"/>
      <c r="E233" s="660"/>
      <c r="F233" s="664"/>
      <c r="G233" s="665"/>
      <c r="H233" s="666"/>
      <c r="I233" s="634"/>
      <c r="J233" s="582"/>
      <c r="K233" s="605"/>
      <c r="L233" s="613"/>
      <c r="M233" s="613"/>
      <c r="N233" s="604"/>
      <c r="O233" s="604"/>
      <c r="P233" s="604"/>
      <c r="Q233" s="604"/>
      <c r="R233" s="604"/>
      <c r="S233" s="604"/>
    </row>
    <row r="234" spans="1:28" s="582" customFormat="1" ht="15.75">
      <c r="A234" s="671">
        <v>2</v>
      </c>
      <c r="B234" s="672" t="s">
        <v>611</v>
      </c>
      <c r="C234" s="672">
        <v>4199448</v>
      </c>
      <c r="D234" s="705">
        <v>56768</v>
      </c>
      <c r="E234" s="671"/>
      <c r="F234" s="732"/>
      <c r="G234" s="750"/>
      <c r="H234" s="750"/>
      <c r="I234" s="635"/>
      <c r="J234" s="636"/>
      <c r="K234" s="636"/>
      <c r="L234" s="637"/>
      <c r="M234" s="636"/>
      <c r="N234" s="1010"/>
      <c r="O234" s="1010"/>
      <c r="P234" s="1010"/>
      <c r="Q234" s="633"/>
      <c r="R234" s="1010"/>
      <c r="S234" s="1010"/>
      <c r="T234" s="1010"/>
      <c r="U234" s="1010"/>
      <c r="V234" s="1010"/>
      <c r="W234" s="1010"/>
      <c r="X234" s="1010"/>
      <c r="Y234" s="1010"/>
      <c r="Z234" s="1010"/>
      <c r="AA234" s="1010"/>
      <c r="AB234" s="1010"/>
    </row>
    <row r="235" spans="1:28" s="582" customFormat="1" ht="15.75">
      <c r="A235" s="700"/>
      <c r="B235" s="679"/>
      <c r="C235" s="679"/>
      <c r="D235" s="655"/>
      <c r="E235" s="655"/>
      <c r="F235" s="655"/>
      <c r="G235" s="679"/>
      <c r="H235" s="679"/>
      <c r="I235" s="866"/>
      <c r="J235" s="557"/>
      <c r="K235" s="1010"/>
      <c r="L235" s="644"/>
      <c r="M235" s="644"/>
      <c r="N235" s="1010"/>
      <c r="O235" s="1010"/>
      <c r="P235" s="1010"/>
      <c r="Q235" s="1010"/>
      <c r="R235" s="1010"/>
      <c r="S235" s="1010"/>
      <c r="T235" s="1010"/>
      <c r="U235" s="1010"/>
      <c r="V235" s="1010"/>
      <c r="W235" s="1010"/>
      <c r="X235" s="1010"/>
      <c r="Y235" s="1010"/>
      <c r="Z235" s="1010"/>
      <c r="AA235" s="1010"/>
      <c r="AB235" s="1010"/>
    </row>
    <row r="236" spans="1:28" s="584" customFormat="1" ht="15.75">
      <c r="A236" s="660"/>
      <c r="B236" s="679"/>
      <c r="C236" s="679"/>
      <c r="D236" s="726"/>
      <c r="E236" s="680" t="s">
        <v>708</v>
      </c>
      <c r="F236" s="680"/>
      <c r="G236" s="910">
        <v>14079</v>
      </c>
      <c r="H236" s="837">
        <v>14074</v>
      </c>
      <c r="I236" s="650" t="s">
        <v>986</v>
      </c>
      <c r="J236" s="559"/>
      <c r="K236" s="639"/>
      <c r="L236" s="639"/>
      <c r="M236" s="638"/>
      <c r="N236" s="638"/>
      <c r="O236" s="638"/>
      <c r="P236" s="638"/>
      <c r="Q236" s="604"/>
      <c r="R236" s="604"/>
      <c r="S236" s="604"/>
      <c r="T236" s="604"/>
      <c r="U236" s="604"/>
      <c r="V236" s="604"/>
      <c r="W236" s="604"/>
      <c r="X236" s="604"/>
      <c r="Y236" s="604"/>
      <c r="Z236" s="604"/>
      <c r="AA236" s="604"/>
      <c r="AB236" s="604"/>
    </row>
    <row r="237" spans="1:17" s="584" customFormat="1" ht="15.75">
      <c r="A237" s="660"/>
      <c r="B237" s="751" t="s">
        <v>612</v>
      </c>
      <c r="C237" s="751"/>
      <c r="D237" s="678"/>
      <c r="E237" s="752"/>
      <c r="F237" s="690"/>
      <c r="G237" s="753"/>
      <c r="H237" s="753"/>
      <c r="I237" s="640"/>
      <c r="K237" s="641"/>
      <c r="L237" s="641"/>
      <c r="M237" s="641"/>
      <c r="N237" s="641"/>
      <c r="O237" s="641"/>
      <c r="P237" s="642"/>
      <c r="Q237" s="598"/>
    </row>
    <row r="238" spans="1:17" s="584" customFormat="1" ht="15">
      <c r="A238" s="660"/>
      <c r="B238" s="761" t="s">
        <v>154</v>
      </c>
      <c r="C238" s="662" t="s">
        <v>219</v>
      </c>
      <c r="D238" s="663">
        <v>56759</v>
      </c>
      <c r="E238" s="660"/>
      <c r="F238" s="664">
        <v>1</v>
      </c>
      <c r="G238" s="754">
        <v>464</v>
      </c>
      <c r="H238" s="835">
        <v>463.7</v>
      </c>
      <c r="I238" s="643"/>
      <c r="J238" s="643"/>
      <c r="K238" s="639"/>
      <c r="M238" s="638"/>
      <c r="N238" s="638"/>
      <c r="O238" s="638"/>
      <c r="P238" s="638"/>
      <c r="Q238" s="598"/>
    </row>
    <row r="239" spans="1:17" s="584" customFormat="1" ht="15.75">
      <c r="A239" s="660"/>
      <c r="B239" s="761"/>
      <c r="C239" s="662"/>
      <c r="D239" s="663"/>
      <c r="E239" s="868" t="s">
        <v>152</v>
      </c>
      <c r="F239" s="867"/>
      <c r="G239" s="894">
        <v>1835</v>
      </c>
      <c r="H239" s="682">
        <v>1825.9</v>
      </c>
      <c r="I239" s="643"/>
      <c r="J239" s="643"/>
      <c r="K239" s="639"/>
      <c r="M239" s="638"/>
      <c r="N239" s="638"/>
      <c r="O239" s="638"/>
      <c r="P239" s="638"/>
      <c r="Q239" s="598"/>
    </row>
    <row r="240" spans="1:17" s="584" customFormat="1" ht="15">
      <c r="A240" s="660"/>
      <c r="B240" s="684" t="s">
        <v>613</v>
      </c>
      <c r="C240" s="662">
        <v>4199485</v>
      </c>
      <c r="D240" s="663">
        <v>56831</v>
      </c>
      <c r="E240" s="660"/>
      <c r="F240" s="664">
        <v>1</v>
      </c>
      <c r="G240" s="754">
        <v>9462</v>
      </c>
      <c r="H240" s="835">
        <v>9724</v>
      </c>
      <c r="I240" s="643"/>
      <c r="J240" s="643"/>
      <c r="K240" s="639"/>
      <c r="M240" s="638"/>
      <c r="N240" s="638"/>
      <c r="O240" s="638"/>
      <c r="P240" s="638"/>
      <c r="Q240" s="598"/>
    </row>
    <row r="241" spans="1:11" s="582" customFormat="1" ht="15.75">
      <c r="A241" s="700"/>
      <c r="B241" s="736" t="s">
        <v>220</v>
      </c>
      <c r="C241" s="850"/>
      <c r="D241" s="851"/>
      <c r="E241" s="755"/>
      <c r="F241" s="664">
        <v>1</v>
      </c>
      <c r="G241" s="836">
        <v>1313.6</v>
      </c>
      <c r="H241" s="666">
        <v>1362.2</v>
      </c>
      <c r="I241" s="620"/>
      <c r="J241" s="620"/>
      <c r="K241" s="644"/>
    </row>
    <row r="242" spans="1:13" s="582" customFormat="1" ht="15.75">
      <c r="A242" s="700"/>
      <c r="B242" s="736"/>
      <c r="C242" s="736"/>
      <c r="D242" s="678"/>
      <c r="E242" s="755"/>
      <c r="F242" s="664"/>
      <c r="G242" s="756"/>
      <c r="H242" s="657"/>
      <c r="I242" s="620"/>
      <c r="J242" s="645"/>
      <c r="K242" s="644"/>
      <c r="L242" s="644"/>
      <c r="M242" s="1010"/>
    </row>
    <row r="243" spans="1:13" s="582" customFormat="1" ht="15">
      <c r="A243" s="700"/>
      <c r="B243" s="736"/>
      <c r="C243" s="736"/>
      <c r="D243" s="678"/>
      <c r="E243" s="842" t="s">
        <v>138</v>
      </c>
      <c r="F243" s="843"/>
      <c r="G243" s="844"/>
      <c r="H243" s="845" t="s">
        <v>109</v>
      </c>
      <c r="I243" s="620"/>
      <c r="J243" s="645"/>
      <c r="K243" s="644"/>
      <c r="L243" s="644"/>
      <c r="M243" s="1010"/>
    </row>
    <row r="244" spans="1:13" s="582" customFormat="1" ht="15">
      <c r="A244" s="700"/>
      <c r="B244" s="733"/>
      <c r="C244" s="733"/>
      <c r="D244" s="678"/>
      <c r="E244" s="842" t="s">
        <v>128</v>
      </c>
      <c r="F244" s="843"/>
      <c r="G244" s="844"/>
      <c r="H244" s="845" t="s">
        <v>110</v>
      </c>
      <c r="I244" s="646"/>
      <c r="J244" s="645"/>
      <c r="K244" s="644"/>
      <c r="L244" s="644"/>
      <c r="M244" s="1010"/>
    </row>
    <row r="245" spans="1:13" s="582" customFormat="1" ht="15">
      <c r="A245" s="700"/>
      <c r="B245" s="733"/>
      <c r="C245" s="733"/>
      <c r="D245" s="678"/>
      <c r="E245" s="733"/>
      <c r="F245" s="733"/>
      <c r="G245" s="733"/>
      <c r="H245" s="733"/>
      <c r="I245" s="646"/>
      <c r="J245" s="645"/>
      <c r="K245" s="644"/>
      <c r="L245" s="644"/>
      <c r="M245" s="1010"/>
    </row>
    <row r="246" spans="1:13" s="582" customFormat="1" ht="15">
      <c r="A246" s="700"/>
      <c r="B246" s="733"/>
      <c r="C246" s="733"/>
      <c r="D246" s="663"/>
      <c r="E246" s="657" t="s">
        <v>370</v>
      </c>
      <c r="F246" s="690"/>
      <c r="G246" s="683" t="s">
        <v>373</v>
      </c>
      <c r="H246" s="733"/>
      <c r="I246" s="646"/>
      <c r="J246" s="645"/>
      <c r="K246" s="644"/>
      <c r="L246" s="644"/>
      <c r="M246" s="1010"/>
    </row>
    <row r="247" spans="1:13" s="582" customFormat="1" ht="15">
      <c r="A247" s="700"/>
      <c r="B247" s="733"/>
      <c r="C247" s="733"/>
      <c r="D247" s="856" t="s">
        <v>374</v>
      </c>
      <c r="E247" s="854">
        <v>3878</v>
      </c>
      <c r="F247" s="855"/>
      <c r="G247" s="854">
        <v>12</v>
      </c>
      <c r="H247" s="733"/>
      <c r="I247" s="646"/>
      <c r="J247" s="645"/>
      <c r="K247" s="644"/>
      <c r="L247" s="644"/>
      <c r="M247" s="1010"/>
    </row>
    <row r="248" spans="1:13" s="582" customFormat="1" ht="15">
      <c r="A248" s="700"/>
      <c r="B248" s="733"/>
      <c r="C248" s="733"/>
      <c r="D248" s="853" t="s">
        <v>376</v>
      </c>
      <c r="E248" s="853">
        <f>E247-50</f>
        <v>3828</v>
      </c>
      <c r="F248" s="853"/>
      <c r="G248" s="853">
        <f>G247+50</f>
        <v>62</v>
      </c>
      <c r="H248" s="733"/>
      <c r="I248" s="646"/>
      <c r="J248" s="645"/>
      <c r="K248" s="644"/>
      <c r="L248" s="644"/>
      <c r="M248" s="1010"/>
    </row>
    <row r="249" spans="1:13" s="582" customFormat="1" ht="15">
      <c r="A249" s="700"/>
      <c r="B249" s="733"/>
      <c r="C249" s="733"/>
      <c r="D249" s="856" t="s">
        <v>375</v>
      </c>
      <c r="E249" s="854">
        <v>4023</v>
      </c>
      <c r="F249" s="855"/>
      <c r="G249" s="854">
        <v>23</v>
      </c>
      <c r="H249" s="733"/>
      <c r="I249" s="646"/>
      <c r="J249" s="645"/>
      <c r="K249" s="644"/>
      <c r="L249" s="644"/>
      <c r="M249" s="1010"/>
    </row>
    <row r="250" spans="1:13" s="582" customFormat="1" ht="15">
      <c r="A250" s="700"/>
      <c r="B250" s="733"/>
      <c r="C250" s="733"/>
      <c r="D250" s="853" t="s">
        <v>377</v>
      </c>
      <c r="E250" s="853">
        <f>E249-150</f>
        <v>3873</v>
      </c>
      <c r="F250" s="853"/>
      <c r="G250" s="853">
        <f>G249+150</f>
        <v>173</v>
      </c>
      <c r="H250" s="733"/>
      <c r="I250" s="646"/>
      <c r="J250" s="645"/>
      <c r="K250" s="644"/>
      <c r="L250" s="644"/>
      <c r="M250" s="1010"/>
    </row>
    <row r="251" spans="1:13" s="582" customFormat="1" ht="15">
      <c r="A251" s="700"/>
      <c r="B251" s="661"/>
      <c r="C251" s="661"/>
      <c r="D251" s="663"/>
      <c r="E251" s="693"/>
      <c r="F251" s="664"/>
      <c r="G251" s="665"/>
      <c r="H251" s="665"/>
      <c r="I251" s="634"/>
      <c r="J251" s="645"/>
      <c r="K251" s="1010"/>
      <c r="L251" s="1010"/>
      <c r="M251" s="1010"/>
    </row>
    <row r="252" spans="1:13" s="582" customFormat="1" ht="15">
      <c r="A252" s="671">
        <v>2</v>
      </c>
      <c r="B252" s="672" t="s">
        <v>614</v>
      </c>
      <c r="C252" s="672">
        <v>4199398</v>
      </c>
      <c r="D252" s="705">
        <v>52347</v>
      </c>
      <c r="E252" s="757"/>
      <c r="F252" s="758"/>
      <c r="G252" s="699"/>
      <c r="H252" s="699"/>
      <c r="I252" s="614"/>
      <c r="J252" s="645"/>
      <c r="K252" s="1010"/>
      <c r="L252" s="1010"/>
      <c r="M252" s="1010"/>
    </row>
    <row r="253" spans="1:13" s="582" customFormat="1" ht="15">
      <c r="A253" s="700"/>
      <c r="B253" s="679"/>
      <c r="C253" s="679"/>
      <c r="D253" s="655"/>
      <c r="E253" s="680" t="s">
        <v>865</v>
      </c>
      <c r="F253" s="680"/>
      <c r="G253" s="681"/>
      <c r="H253" s="682">
        <f>SUM(H256:H258,H263:H265,H270:H271,H276:H277,H279:H280)</f>
        <v>3984.4</v>
      </c>
      <c r="I253" s="650" t="s">
        <v>986</v>
      </c>
      <c r="J253" s="557" t="s">
        <v>955</v>
      </c>
      <c r="K253" s="1010"/>
      <c r="L253" s="1010"/>
      <c r="M253" s="1010"/>
    </row>
    <row r="254" spans="1:13" s="582" customFormat="1" ht="15">
      <c r="A254" s="700"/>
      <c r="B254" s="679"/>
      <c r="C254" s="679"/>
      <c r="D254" s="726"/>
      <c r="E254" s="680" t="s">
        <v>708</v>
      </c>
      <c r="F254" s="680"/>
      <c r="G254" s="910">
        <v>3965</v>
      </c>
      <c r="H254" s="792">
        <v>3993.3</v>
      </c>
      <c r="I254" s="650" t="s">
        <v>986</v>
      </c>
      <c r="J254" s="559">
        <f>H254-H253</f>
        <v>8.900000000000091</v>
      </c>
      <c r="K254" s="1010"/>
      <c r="L254" s="1010"/>
      <c r="M254" s="1010"/>
    </row>
    <row r="255" spans="1:13" s="582" customFormat="1" ht="15">
      <c r="A255" s="700"/>
      <c r="B255" s="679"/>
      <c r="C255" s="679"/>
      <c r="D255" s="726"/>
      <c r="E255" s="756"/>
      <c r="F255" s="690"/>
      <c r="G255" s="703"/>
      <c r="H255" s="703"/>
      <c r="I255" s="621"/>
      <c r="J255" s="1010"/>
      <c r="K255" s="1010"/>
      <c r="L255" s="1010"/>
      <c r="M255" s="1010"/>
    </row>
    <row r="256" spans="1:13" s="582" customFormat="1" ht="15">
      <c r="A256" s="700">
        <v>3</v>
      </c>
      <c r="B256" s="690" t="s">
        <v>615</v>
      </c>
      <c r="C256" s="662">
        <v>4199465</v>
      </c>
      <c r="D256" s="663">
        <v>56785</v>
      </c>
      <c r="E256" s="660"/>
      <c r="F256" s="664">
        <v>1</v>
      </c>
      <c r="G256" s="665">
        <v>63.7</v>
      </c>
      <c r="H256" s="833">
        <v>61.2</v>
      </c>
      <c r="I256" s="585"/>
      <c r="J256" s="1010"/>
      <c r="K256" s="1010"/>
      <c r="L256" s="1010"/>
      <c r="M256" s="585"/>
    </row>
    <row r="257" spans="1:13" s="582" customFormat="1" ht="15">
      <c r="A257" s="700">
        <v>3</v>
      </c>
      <c r="B257" s="690" t="s">
        <v>616</v>
      </c>
      <c r="C257" s="662">
        <v>4199499</v>
      </c>
      <c r="D257" s="663">
        <v>57672</v>
      </c>
      <c r="E257" s="660"/>
      <c r="F257" s="664">
        <v>1</v>
      </c>
      <c r="G257" s="665">
        <v>64.1</v>
      </c>
      <c r="H257" s="833">
        <v>62</v>
      </c>
      <c r="I257" s="585"/>
      <c r="J257" s="645"/>
      <c r="M257" s="585"/>
    </row>
    <row r="258" spans="1:13" s="582" customFormat="1" ht="15">
      <c r="A258" s="660">
        <v>3</v>
      </c>
      <c r="B258" s="759" t="s">
        <v>619</v>
      </c>
      <c r="C258" s="662">
        <v>4199386</v>
      </c>
      <c r="D258" s="663">
        <v>52290</v>
      </c>
      <c r="E258" s="760"/>
      <c r="F258" s="664">
        <v>1</v>
      </c>
      <c r="G258" s="665">
        <v>257.5</v>
      </c>
      <c r="H258" s="833">
        <v>261.9</v>
      </c>
      <c r="I258" s="585"/>
      <c r="J258" s="645"/>
      <c r="K258" s="1010"/>
      <c r="L258" s="1010"/>
      <c r="M258" s="585"/>
    </row>
    <row r="259" spans="1:13" s="582" customFormat="1" ht="15">
      <c r="A259" s="660"/>
      <c r="B259" s="723"/>
      <c r="C259" s="761"/>
      <c r="D259" s="655"/>
      <c r="E259" s="842" t="s">
        <v>129</v>
      </c>
      <c r="F259" s="843"/>
      <c r="G259" s="844"/>
      <c r="H259" s="845" t="s">
        <v>111</v>
      </c>
      <c r="I259" s="626"/>
      <c r="J259" s="645"/>
      <c r="K259" s="1010"/>
      <c r="L259" s="1010"/>
      <c r="M259" s="626"/>
    </row>
    <row r="260" spans="1:13" s="584" customFormat="1" ht="15">
      <c r="A260" s="660"/>
      <c r="B260" s="723"/>
      <c r="C260" s="761"/>
      <c r="D260" s="655"/>
      <c r="E260" s="842" t="s">
        <v>130</v>
      </c>
      <c r="F260" s="843"/>
      <c r="G260" s="844"/>
      <c r="H260" s="845" t="s">
        <v>112</v>
      </c>
      <c r="I260" s="626"/>
      <c r="J260" s="645"/>
      <c r="M260" s="626"/>
    </row>
    <row r="261" spans="1:13" s="582" customFormat="1" ht="15">
      <c r="A261" s="660"/>
      <c r="B261" s="723"/>
      <c r="C261" s="761"/>
      <c r="D261" s="655"/>
      <c r="E261" s="842" t="s">
        <v>131</v>
      </c>
      <c r="F261" s="843"/>
      <c r="G261" s="844"/>
      <c r="H261" s="845" t="s">
        <v>113</v>
      </c>
      <c r="I261" s="626"/>
      <c r="J261" s="645"/>
      <c r="K261" s="1010"/>
      <c r="L261" s="1010"/>
      <c r="M261" s="626"/>
    </row>
    <row r="262" spans="1:13" s="582" customFormat="1" ht="15">
      <c r="A262" s="660"/>
      <c r="B262" s="723"/>
      <c r="C262" s="761"/>
      <c r="D262" s="655"/>
      <c r="E262" s="842" t="s">
        <v>132</v>
      </c>
      <c r="F262" s="843"/>
      <c r="G262" s="844"/>
      <c r="H262" s="845" t="s">
        <v>62</v>
      </c>
      <c r="I262" s="626"/>
      <c r="J262" s="1010"/>
      <c r="K262" s="1010"/>
      <c r="L262" s="1010"/>
      <c r="M262" s="626"/>
    </row>
    <row r="263" spans="1:13" s="582" customFormat="1" ht="15">
      <c r="A263" s="700">
        <v>3</v>
      </c>
      <c r="B263" s="690" t="s">
        <v>620</v>
      </c>
      <c r="C263" s="662">
        <v>4199408</v>
      </c>
      <c r="D263" s="663">
        <v>52370</v>
      </c>
      <c r="E263" s="693"/>
      <c r="F263" s="664">
        <v>1</v>
      </c>
      <c r="G263" s="665">
        <v>3.9</v>
      </c>
      <c r="H263" s="833">
        <v>4.8</v>
      </c>
      <c r="I263" s="585"/>
      <c r="J263" s="1010"/>
      <c r="K263" s="1010"/>
      <c r="L263" s="1010"/>
      <c r="M263" s="585"/>
    </row>
    <row r="264" spans="1:13" s="582" customFormat="1" ht="15">
      <c r="A264" s="700">
        <v>3</v>
      </c>
      <c r="B264" s="690" t="s">
        <v>621</v>
      </c>
      <c r="C264" s="662">
        <v>4146090</v>
      </c>
      <c r="D264" s="663">
        <v>55209</v>
      </c>
      <c r="E264" s="693"/>
      <c r="F264" s="664">
        <v>1</v>
      </c>
      <c r="G264" s="665">
        <v>4.6</v>
      </c>
      <c r="H264" s="833">
        <v>4.5</v>
      </c>
      <c r="I264" s="585"/>
      <c r="J264" s="1010"/>
      <c r="K264" s="1010"/>
      <c r="L264" s="1010"/>
      <c r="M264" s="585"/>
    </row>
    <row r="265" spans="1:13" s="645" customFormat="1" ht="45">
      <c r="A265" s="683">
        <v>3</v>
      </c>
      <c r="B265" s="759" t="s">
        <v>622</v>
      </c>
      <c r="C265" s="662">
        <v>4199370</v>
      </c>
      <c r="D265" s="663">
        <v>52257</v>
      </c>
      <c r="E265" s="683"/>
      <c r="F265" s="664">
        <v>1</v>
      </c>
      <c r="G265" s="665">
        <v>575.8</v>
      </c>
      <c r="H265" s="833">
        <v>583.7</v>
      </c>
      <c r="I265" s="585"/>
      <c r="J265" s="582"/>
      <c r="K265" s="584"/>
      <c r="M265" s="585"/>
    </row>
    <row r="266" spans="1:13" s="645" customFormat="1" ht="15">
      <c r="A266" s="683"/>
      <c r="B266" s="723"/>
      <c r="C266" s="761"/>
      <c r="D266" s="655"/>
      <c r="E266" s="842" t="s">
        <v>133</v>
      </c>
      <c r="F266" s="843"/>
      <c r="G266" s="844"/>
      <c r="H266" s="845" t="s">
        <v>63</v>
      </c>
      <c r="I266" s="585"/>
      <c r="J266" s="582"/>
      <c r="K266" s="584"/>
      <c r="M266" s="585"/>
    </row>
    <row r="267" spans="1:13" s="645" customFormat="1" ht="15">
      <c r="A267" s="683"/>
      <c r="B267" s="723"/>
      <c r="C267" s="761"/>
      <c r="D267" s="655"/>
      <c r="E267" s="842" t="s">
        <v>134</v>
      </c>
      <c r="F267" s="843"/>
      <c r="G267" s="844"/>
      <c r="H267" s="845" t="s">
        <v>64</v>
      </c>
      <c r="I267" s="585"/>
      <c r="J267" s="582"/>
      <c r="K267" s="584"/>
      <c r="M267" s="585"/>
    </row>
    <row r="268" spans="1:13" s="645" customFormat="1" ht="15">
      <c r="A268" s="683"/>
      <c r="B268" s="723"/>
      <c r="C268" s="761"/>
      <c r="D268" s="655"/>
      <c r="E268" s="842" t="s">
        <v>135</v>
      </c>
      <c r="F268" s="843"/>
      <c r="G268" s="844"/>
      <c r="H268" s="845" t="s">
        <v>65</v>
      </c>
      <c r="I268" s="625"/>
      <c r="J268" s="582"/>
      <c r="K268" s="584"/>
      <c r="M268" s="625"/>
    </row>
    <row r="269" spans="1:13" s="645" customFormat="1" ht="15">
      <c r="A269" s="683"/>
      <c r="B269" s="723"/>
      <c r="C269" s="761"/>
      <c r="D269" s="655"/>
      <c r="E269" s="842" t="s">
        <v>136</v>
      </c>
      <c r="F269" s="843"/>
      <c r="G269" s="844"/>
      <c r="H269" s="845" t="s">
        <v>66</v>
      </c>
      <c r="I269" s="626"/>
      <c r="J269" s="582"/>
      <c r="K269" s="584"/>
      <c r="M269" s="626"/>
    </row>
    <row r="270" spans="1:13" s="645" customFormat="1" ht="15">
      <c r="A270" s="700">
        <v>3</v>
      </c>
      <c r="B270" s="690" t="s">
        <v>623</v>
      </c>
      <c r="C270" s="662">
        <v>4146090</v>
      </c>
      <c r="D270" s="663">
        <v>55209</v>
      </c>
      <c r="E270" s="693"/>
      <c r="F270" s="664">
        <v>1</v>
      </c>
      <c r="G270" s="665">
        <v>4.6</v>
      </c>
      <c r="H270" s="833">
        <v>4.5</v>
      </c>
      <c r="I270" s="585"/>
      <c r="J270" s="582"/>
      <c r="K270" s="584"/>
      <c r="M270" s="585"/>
    </row>
    <row r="271" spans="1:13" s="582" customFormat="1" ht="30">
      <c r="A271" s="683">
        <v>3</v>
      </c>
      <c r="B271" s="759" t="s">
        <v>521</v>
      </c>
      <c r="C271" s="662">
        <v>4199389</v>
      </c>
      <c r="D271" s="663">
        <v>52324</v>
      </c>
      <c r="E271" s="683"/>
      <c r="F271" s="664">
        <v>1</v>
      </c>
      <c r="G271" s="665">
        <v>279</v>
      </c>
      <c r="H271" s="833">
        <v>280</v>
      </c>
      <c r="I271" s="585"/>
      <c r="J271" s="1010"/>
      <c r="K271" s="1010"/>
      <c r="L271" s="1010"/>
      <c r="M271" s="585"/>
    </row>
    <row r="272" spans="1:13" s="582" customFormat="1" ht="15">
      <c r="A272" s="683"/>
      <c r="B272" s="723"/>
      <c r="C272" s="761"/>
      <c r="D272" s="655"/>
      <c r="E272" s="842" t="s">
        <v>430</v>
      </c>
      <c r="F272" s="843"/>
      <c r="G272" s="844"/>
      <c r="H272" s="845" t="s">
        <v>67</v>
      </c>
      <c r="I272" s="625"/>
      <c r="J272" s="584"/>
      <c r="K272" s="1010"/>
      <c r="L272" s="1010"/>
      <c r="M272" s="625"/>
    </row>
    <row r="273" spans="1:13" s="582" customFormat="1" ht="15">
      <c r="A273" s="683"/>
      <c r="B273" s="723"/>
      <c r="C273" s="761"/>
      <c r="D273" s="655"/>
      <c r="E273" s="842" t="s">
        <v>137</v>
      </c>
      <c r="F273" s="843"/>
      <c r="G273" s="844"/>
      <c r="H273" s="845" t="s">
        <v>68</v>
      </c>
      <c r="I273" s="625"/>
      <c r="M273" s="625"/>
    </row>
    <row r="274" spans="1:13" s="582" customFormat="1" ht="15">
      <c r="A274" s="683"/>
      <c r="B274" s="723"/>
      <c r="C274" s="761"/>
      <c r="D274" s="655"/>
      <c r="E274" s="842" t="s">
        <v>24</v>
      </c>
      <c r="F274" s="843"/>
      <c r="G274" s="844"/>
      <c r="H274" s="845" t="s">
        <v>226</v>
      </c>
      <c r="I274" s="625"/>
      <c r="J274" s="1010"/>
      <c r="K274" s="1010"/>
      <c r="L274" s="1010"/>
      <c r="M274" s="625"/>
    </row>
    <row r="275" spans="1:13" s="582" customFormat="1" ht="15">
      <c r="A275" s="683"/>
      <c r="B275" s="723"/>
      <c r="C275" s="761"/>
      <c r="D275" s="655"/>
      <c r="E275" s="842" t="s">
        <v>25</v>
      </c>
      <c r="F275" s="843"/>
      <c r="G275" s="844"/>
      <c r="H275" s="845" t="s">
        <v>69</v>
      </c>
      <c r="I275" s="625"/>
      <c r="J275" s="1010"/>
      <c r="K275" s="1010"/>
      <c r="L275" s="1010"/>
      <c r="M275" s="625"/>
    </row>
    <row r="276" spans="1:13" s="582" customFormat="1" ht="15">
      <c r="A276" s="660">
        <v>3</v>
      </c>
      <c r="B276" s="690" t="s">
        <v>522</v>
      </c>
      <c r="C276" s="710" t="s">
        <v>79</v>
      </c>
      <c r="D276" s="663" t="s">
        <v>523</v>
      </c>
      <c r="E276" s="693"/>
      <c r="F276" s="664">
        <v>1</v>
      </c>
      <c r="G276" s="665">
        <v>3.5</v>
      </c>
      <c r="H276" s="833">
        <v>3.4</v>
      </c>
      <c r="I276" s="585"/>
      <c r="J276" s="1010"/>
      <c r="K276" s="1010"/>
      <c r="L276" s="1010"/>
      <c r="M276" s="585"/>
    </row>
    <row r="277" spans="1:13" s="645" customFormat="1" ht="15">
      <c r="A277" s="700">
        <v>3</v>
      </c>
      <c r="B277" s="690" t="s">
        <v>524</v>
      </c>
      <c r="C277" s="662">
        <v>4199484</v>
      </c>
      <c r="D277" s="663">
        <v>56830</v>
      </c>
      <c r="E277" s="693"/>
      <c r="F277" s="664">
        <v>1</v>
      </c>
      <c r="G277" s="665">
        <v>1890.4</v>
      </c>
      <c r="H277" s="833">
        <v>2640.8</v>
      </c>
      <c r="I277" s="585"/>
      <c r="J277" s="582"/>
      <c r="K277" s="584"/>
      <c r="M277" s="585"/>
    </row>
    <row r="278" spans="1:13" s="645" customFormat="1" ht="15">
      <c r="A278" s="700"/>
      <c r="B278" s="723"/>
      <c r="C278" s="662"/>
      <c r="D278" s="663"/>
      <c r="E278" s="842" t="s">
        <v>138</v>
      </c>
      <c r="F278" s="843"/>
      <c r="G278" s="844"/>
      <c r="H278" s="845" t="s">
        <v>70</v>
      </c>
      <c r="I278" s="626"/>
      <c r="J278" s="582"/>
      <c r="K278" s="584"/>
      <c r="M278" s="626"/>
    </row>
    <row r="279" spans="1:13" s="645" customFormat="1" ht="15">
      <c r="A279" s="652">
        <v>3</v>
      </c>
      <c r="B279" s="690" t="s">
        <v>525</v>
      </c>
      <c r="C279" s="662">
        <v>4199335</v>
      </c>
      <c r="D279" s="663">
        <v>49847</v>
      </c>
      <c r="E279" s="693"/>
      <c r="F279" s="664">
        <v>1</v>
      </c>
      <c r="G279" s="665">
        <v>73.3</v>
      </c>
      <c r="H279" s="833">
        <v>72.4</v>
      </c>
      <c r="I279" s="585"/>
      <c r="J279" s="582"/>
      <c r="K279" s="584"/>
      <c r="M279" s="585"/>
    </row>
    <row r="280" spans="1:13" s="645" customFormat="1" ht="15">
      <c r="A280" s="700">
        <v>3</v>
      </c>
      <c r="B280" s="690" t="s">
        <v>526</v>
      </c>
      <c r="C280" s="710" t="s">
        <v>79</v>
      </c>
      <c r="D280" s="663" t="s">
        <v>523</v>
      </c>
      <c r="E280" s="693"/>
      <c r="F280" s="664">
        <v>1</v>
      </c>
      <c r="G280" s="665">
        <v>5.3</v>
      </c>
      <c r="H280" s="833">
        <v>5.2</v>
      </c>
      <c r="I280" s="585"/>
      <c r="J280" s="582"/>
      <c r="K280" s="584"/>
      <c r="M280" s="585"/>
    </row>
    <row r="281" spans="1:13" s="645" customFormat="1" ht="15">
      <c r="A281" s="700"/>
      <c r="B281" s="690"/>
      <c r="C281" s="690"/>
      <c r="D281" s="663"/>
      <c r="E281" s="660"/>
      <c r="F281" s="664"/>
      <c r="G281" s="665"/>
      <c r="H281" s="665"/>
      <c r="I281" s="634"/>
      <c r="J281" s="582"/>
      <c r="K281" s="584"/>
      <c r="L281" s="584"/>
      <c r="M281" s="584"/>
    </row>
    <row r="282" spans="1:13" s="645" customFormat="1" ht="15">
      <c r="A282" s="671">
        <v>2</v>
      </c>
      <c r="B282" s="672" t="s">
        <v>527</v>
      </c>
      <c r="C282" s="672">
        <v>4199340</v>
      </c>
      <c r="D282" s="705">
        <v>49878</v>
      </c>
      <c r="E282" s="731"/>
      <c r="F282" s="732"/>
      <c r="G282" s="750"/>
      <c r="H282" s="750"/>
      <c r="I282" s="635"/>
      <c r="J282" s="582"/>
      <c r="K282" s="584"/>
      <c r="L282" s="584"/>
      <c r="M282" s="584"/>
    </row>
    <row r="283" spans="1:13" s="645" customFormat="1" ht="15">
      <c r="A283" s="700"/>
      <c r="B283" s="679"/>
      <c r="C283" s="679"/>
      <c r="D283" s="655"/>
      <c r="E283" s="680" t="s">
        <v>865</v>
      </c>
      <c r="F283" s="680"/>
      <c r="G283" s="681"/>
      <c r="H283" s="682">
        <f>SUM(H285:H292)</f>
        <v>7970.2</v>
      </c>
      <c r="I283" s="650" t="s">
        <v>986</v>
      </c>
      <c r="J283" s="557" t="s">
        <v>955</v>
      </c>
      <c r="K283" s="584"/>
      <c r="L283" s="584"/>
      <c r="M283" s="584"/>
    </row>
    <row r="284" spans="1:13" s="582" customFormat="1" ht="15">
      <c r="A284" s="700"/>
      <c r="B284" s="679"/>
      <c r="C284" s="679"/>
      <c r="D284" s="726"/>
      <c r="E284" s="680" t="s">
        <v>708</v>
      </c>
      <c r="F284" s="680"/>
      <c r="G284" s="910">
        <v>7963</v>
      </c>
      <c r="H284" s="838">
        <v>7972</v>
      </c>
      <c r="I284" s="650" t="s">
        <v>986</v>
      </c>
      <c r="J284" s="559">
        <f>H284-H283</f>
        <v>1.800000000000182</v>
      </c>
      <c r="K284" s="1010"/>
      <c r="L284" s="1010"/>
      <c r="M284" s="1010"/>
    </row>
    <row r="285" spans="1:13" s="582" customFormat="1" ht="15">
      <c r="A285" s="700">
        <v>3</v>
      </c>
      <c r="B285" s="661" t="s">
        <v>528</v>
      </c>
      <c r="C285" s="662">
        <v>4199326</v>
      </c>
      <c r="D285" s="663">
        <v>49817</v>
      </c>
      <c r="E285" s="660"/>
      <c r="F285" s="664">
        <v>1</v>
      </c>
      <c r="G285" s="665">
        <v>3632</v>
      </c>
      <c r="H285" s="833">
        <v>3602</v>
      </c>
      <c r="I285" s="585"/>
      <c r="J285" s="1010"/>
      <c r="K285" s="1010"/>
      <c r="L285" s="1010"/>
      <c r="M285" s="1010"/>
    </row>
    <row r="286" spans="1:13" s="582" customFormat="1" ht="15">
      <c r="A286" s="700">
        <v>3</v>
      </c>
      <c r="B286" s="661" t="s">
        <v>402</v>
      </c>
      <c r="C286" s="662">
        <v>4199326</v>
      </c>
      <c r="D286" s="663">
        <v>49817</v>
      </c>
      <c r="E286" s="660"/>
      <c r="F286" s="664">
        <v>1</v>
      </c>
      <c r="G286" s="665">
        <v>3628.3</v>
      </c>
      <c r="H286" s="833">
        <v>3604</v>
      </c>
      <c r="I286" s="585"/>
      <c r="J286" s="1010"/>
      <c r="K286" s="1010"/>
      <c r="L286" s="1010"/>
      <c r="M286" s="1010"/>
    </row>
    <row r="287" spans="1:13" s="582" customFormat="1" ht="15">
      <c r="A287" s="700">
        <v>3</v>
      </c>
      <c r="B287" s="661" t="s">
        <v>403</v>
      </c>
      <c r="C287" s="662">
        <v>4199327</v>
      </c>
      <c r="D287" s="663">
        <v>49818</v>
      </c>
      <c r="E287" s="660"/>
      <c r="F287" s="664">
        <v>1</v>
      </c>
      <c r="G287" s="665">
        <v>675.6</v>
      </c>
      <c r="H287" s="833">
        <v>686</v>
      </c>
      <c r="I287" s="585"/>
      <c r="J287" s="1010"/>
      <c r="K287" s="1010"/>
      <c r="L287" s="1010"/>
      <c r="M287" s="1010"/>
    </row>
    <row r="288" spans="1:13" s="582" customFormat="1" ht="15">
      <c r="A288" s="700">
        <v>3</v>
      </c>
      <c r="B288" s="661" t="s">
        <v>404</v>
      </c>
      <c r="C288" s="710" t="s">
        <v>52</v>
      </c>
      <c r="D288" s="663" t="s">
        <v>53</v>
      </c>
      <c r="E288" s="693"/>
      <c r="F288" s="664">
        <v>1</v>
      </c>
      <c r="G288" s="665">
        <v>13.5</v>
      </c>
      <c r="H288" s="833">
        <v>13.2</v>
      </c>
      <c r="I288" s="585"/>
      <c r="J288" s="1010"/>
      <c r="K288" s="1010"/>
      <c r="L288" s="1010"/>
      <c r="M288" s="1010"/>
    </row>
    <row r="289" spans="1:9" s="582" customFormat="1" ht="15">
      <c r="A289" s="700">
        <v>3</v>
      </c>
      <c r="B289" s="661" t="s">
        <v>405</v>
      </c>
      <c r="C289" s="662">
        <v>4199060</v>
      </c>
      <c r="D289" s="663">
        <v>52412</v>
      </c>
      <c r="E289" s="663"/>
      <c r="F289" s="664">
        <v>1</v>
      </c>
      <c r="G289" s="665">
        <v>16.7</v>
      </c>
      <c r="H289" s="833">
        <v>16.7</v>
      </c>
      <c r="I289" s="585"/>
    </row>
    <row r="290" spans="1:10" s="582" customFormat="1" ht="15">
      <c r="A290" s="700">
        <v>3</v>
      </c>
      <c r="B290" s="661" t="s">
        <v>51</v>
      </c>
      <c r="C290" s="662">
        <v>4199341</v>
      </c>
      <c r="D290" s="663">
        <v>49883</v>
      </c>
      <c r="E290" s="660"/>
      <c r="F290" s="664">
        <v>1</v>
      </c>
      <c r="G290" s="665">
        <v>21.2</v>
      </c>
      <c r="H290" s="833">
        <v>25.7</v>
      </c>
      <c r="I290" s="585"/>
      <c r="J290" s="1010"/>
    </row>
    <row r="291" spans="1:10" s="582" customFormat="1" ht="15">
      <c r="A291" s="700">
        <v>3</v>
      </c>
      <c r="B291" s="661" t="s">
        <v>406</v>
      </c>
      <c r="C291" s="662">
        <v>4199412</v>
      </c>
      <c r="D291" s="663">
        <v>52405</v>
      </c>
      <c r="E291" s="663"/>
      <c r="F291" s="664">
        <v>1</v>
      </c>
      <c r="G291" s="665">
        <v>18.8</v>
      </c>
      <c r="H291" s="833">
        <v>18.6</v>
      </c>
      <c r="I291" s="585"/>
      <c r="J291" s="1010"/>
    </row>
    <row r="292" spans="1:10" s="582" customFormat="1" ht="15">
      <c r="A292" s="700">
        <v>3</v>
      </c>
      <c r="B292" s="661" t="s">
        <v>257</v>
      </c>
      <c r="C292" s="710" t="s">
        <v>80</v>
      </c>
      <c r="D292" s="663" t="s">
        <v>258</v>
      </c>
      <c r="E292" s="693"/>
      <c r="F292" s="664">
        <v>1</v>
      </c>
      <c r="G292" s="665">
        <v>7.1</v>
      </c>
      <c r="H292" s="833">
        <v>4</v>
      </c>
      <c r="I292" s="585"/>
      <c r="J292" s="1010"/>
    </row>
    <row r="293" spans="1:10" s="582" customFormat="1" ht="15">
      <c r="A293" s="700"/>
      <c r="B293" s="661"/>
      <c r="C293" s="661"/>
      <c r="D293" s="663"/>
      <c r="E293" s="660"/>
      <c r="F293" s="664"/>
      <c r="G293" s="665"/>
      <c r="H293" s="665"/>
      <c r="I293" s="634"/>
      <c r="J293" s="1010"/>
    </row>
    <row r="294" spans="1:10" s="584" customFormat="1" ht="15">
      <c r="A294" s="671">
        <v>2</v>
      </c>
      <c r="B294" s="672" t="s">
        <v>259</v>
      </c>
      <c r="C294" s="672">
        <v>4199339</v>
      </c>
      <c r="D294" s="705">
        <v>49877</v>
      </c>
      <c r="E294" s="731"/>
      <c r="F294" s="732"/>
      <c r="G294" s="750"/>
      <c r="H294" s="750"/>
      <c r="I294" s="635"/>
      <c r="J294" s="582"/>
    </row>
    <row r="295" spans="1:10" s="582" customFormat="1" ht="15">
      <c r="A295" s="660"/>
      <c r="B295" s="679"/>
      <c r="C295" s="679"/>
      <c r="D295" s="655"/>
      <c r="E295" s="680" t="s">
        <v>865</v>
      </c>
      <c r="F295" s="680"/>
      <c r="G295" s="681"/>
      <c r="H295" s="682">
        <f>SUM(H297:H298,H300:H307,H310:H312)</f>
        <v>5151.7</v>
      </c>
      <c r="I295" s="650" t="s">
        <v>986</v>
      </c>
      <c r="J295" s="557" t="s">
        <v>955</v>
      </c>
    </row>
    <row r="296" spans="1:10" s="582" customFormat="1" ht="15">
      <c r="A296" s="660"/>
      <c r="B296" s="679"/>
      <c r="C296" s="679"/>
      <c r="D296" s="726"/>
      <c r="E296" s="680" t="s">
        <v>708</v>
      </c>
      <c r="F296" s="680"/>
      <c r="G296" s="910">
        <v>5153</v>
      </c>
      <c r="H296" s="838">
        <v>5154</v>
      </c>
      <c r="I296" s="650" t="s">
        <v>986</v>
      </c>
      <c r="J296" s="559">
        <f>H296-H295</f>
        <v>2.300000000000182</v>
      </c>
    </row>
    <row r="297" spans="1:10" s="582" customFormat="1" ht="15">
      <c r="A297" s="660">
        <v>3</v>
      </c>
      <c r="B297" s="661" t="s">
        <v>260</v>
      </c>
      <c r="C297" s="662">
        <v>4199329</v>
      </c>
      <c r="D297" s="663">
        <v>49830</v>
      </c>
      <c r="E297" s="660"/>
      <c r="F297" s="664">
        <v>1</v>
      </c>
      <c r="G297" s="665">
        <v>1899.4</v>
      </c>
      <c r="H297" s="833">
        <v>1890</v>
      </c>
      <c r="I297" s="585"/>
      <c r="J297" s="1010"/>
    </row>
    <row r="298" spans="1:10" s="582" customFormat="1" ht="15">
      <c r="A298" s="660">
        <v>3</v>
      </c>
      <c r="B298" s="661" t="s">
        <v>261</v>
      </c>
      <c r="C298" s="710" t="s">
        <v>81</v>
      </c>
      <c r="D298" s="663" t="s">
        <v>412</v>
      </c>
      <c r="E298" s="693"/>
      <c r="F298" s="664">
        <v>1</v>
      </c>
      <c r="G298" s="665">
        <v>1442.2</v>
      </c>
      <c r="H298" s="833">
        <v>1440</v>
      </c>
      <c r="I298" s="585"/>
      <c r="J298" s="1010"/>
    </row>
    <row r="299" spans="1:10" s="582" customFormat="1" ht="15">
      <c r="A299" s="660"/>
      <c r="B299" s="679"/>
      <c r="C299" s="662"/>
      <c r="D299" s="663"/>
      <c r="E299" s="842" t="s">
        <v>280</v>
      </c>
      <c r="F299" s="843"/>
      <c r="G299" s="844"/>
      <c r="H299" s="846">
        <v>5195</v>
      </c>
      <c r="I299" s="625"/>
      <c r="J299" s="1010"/>
    </row>
    <row r="300" spans="1:10" s="582" customFormat="1" ht="15">
      <c r="A300" s="660">
        <v>3</v>
      </c>
      <c r="B300" s="661" t="s">
        <v>413</v>
      </c>
      <c r="C300" s="662">
        <v>4199062</v>
      </c>
      <c r="D300" s="663">
        <v>52413</v>
      </c>
      <c r="E300" s="663"/>
      <c r="F300" s="664">
        <v>1</v>
      </c>
      <c r="G300" s="665">
        <v>3.3</v>
      </c>
      <c r="H300" s="833">
        <v>3.2</v>
      </c>
      <c r="I300" s="585"/>
      <c r="J300" s="1010"/>
    </row>
    <row r="301" spans="1:10" s="582" customFormat="1" ht="15">
      <c r="A301" s="660">
        <v>3</v>
      </c>
      <c r="B301" s="690" t="s">
        <v>414</v>
      </c>
      <c r="C301" s="710" t="s">
        <v>82</v>
      </c>
      <c r="D301" s="663" t="s">
        <v>415</v>
      </c>
      <c r="E301" s="693"/>
      <c r="F301" s="664">
        <v>1</v>
      </c>
      <c r="G301" s="665">
        <v>15.1</v>
      </c>
      <c r="H301" s="833">
        <v>15.2</v>
      </c>
      <c r="I301" s="585"/>
      <c r="J301" s="1010"/>
    </row>
    <row r="302" spans="1:10" s="582" customFormat="1" ht="15">
      <c r="A302" s="660">
        <v>3</v>
      </c>
      <c r="B302" s="661" t="s">
        <v>416</v>
      </c>
      <c r="C302" s="662">
        <v>4199328</v>
      </c>
      <c r="D302" s="663">
        <v>49829</v>
      </c>
      <c r="E302" s="660"/>
      <c r="F302" s="664">
        <v>1</v>
      </c>
      <c r="G302" s="665">
        <v>1695.1</v>
      </c>
      <c r="H302" s="833">
        <v>1689</v>
      </c>
      <c r="I302" s="585"/>
      <c r="J302" s="1010"/>
    </row>
    <row r="303" spans="1:10" s="582" customFormat="1" ht="15">
      <c r="A303" s="660">
        <v>3</v>
      </c>
      <c r="B303" s="661" t="s">
        <v>417</v>
      </c>
      <c r="C303" s="662">
        <v>4199058</v>
      </c>
      <c r="D303" s="663">
        <v>52410</v>
      </c>
      <c r="E303" s="663"/>
      <c r="F303" s="664">
        <v>1</v>
      </c>
      <c r="G303" s="665">
        <v>6.4</v>
      </c>
      <c r="H303" s="833">
        <v>6.6</v>
      </c>
      <c r="I303" s="585"/>
      <c r="J303" s="1010"/>
    </row>
    <row r="304" spans="1:10" s="582" customFormat="1" ht="15">
      <c r="A304" s="660">
        <v>3</v>
      </c>
      <c r="B304" s="690" t="s">
        <v>418</v>
      </c>
      <c r="C304" s="710" t="s">
        <v>174</v>
      </c>
      <c r="D304" s="663" t="s">
        <v>475</v>
      </c>
      <c r="E304" s="663"/>
      <c r="F304" s="664">
        <v>1</v>
      </c>
      <c r="G304" s="665">
        <v>10.7</v>
      </c>
      <c r="H304" s="833">
        <v>10.4</v>
      </c>
      <c r="I304" s="585"/>
      <c r="J304" s="1010"/>
    </row>
    <row r="305" spans="1:9" s="582" customFormat="1" ht="15">
      <c r="A305" s="660"/>
      <c r="B305" s="689" t="s">
        <v>151</v>
      </c>
      <c r="C305" s="662"/>
      <c r="D305" s="663"/>
      <c r="E305" s="663"/>
      <c r="F305" s="664"/>
      <c r="G305" s="665"/>
      <c r="H305" s="833"/>
      <c r="I305" s="585"/>
    </row>
    <row r="306" spans="1:10" s="582" customFormat="1" ht="15">
      <c r="A306" s="660">
        <v>3</v>
      </c>
      <c r="B306" s="690" t="s">
        <v>419</v>
      </c>
      <c r="C306" s="662">
        <v>4199336</v>
      </c>
      <c r="D306" s="663">
        <v>49848</v>
      </c>
      <c r="E306" s="693"/>
      <c r="F306" s="664">
        <v>1</v>
      </c>
      <c r="G306" s="665">
        <v>25.5</v>
      </c>
      <c r="H306" s="666">
        <v>24.6</v>
      </c>
      <c r="I306" s="585"/>
      <c r="J306" s="1010"/>
    </row>
    <row r="307" spans="1:10" s="582" customFormat="1" ht="15">
      <c r="A307" s="660">
        <v>3</v>
      </c>
      <c r="B307" s="690" t="s">
        <v>281</v>
      </c>
      <c r="C307" s="710" t="s">
        <v>84</v>
      </c>
      <c r="D307" s="663" t="s">
        <v>83</v>
      </c>
      <c r="E307" s="693"/>
      <c r="F307" s="664">
        <v>1</v>
      </c>
      <c r="G307" s="665">
        <v>46.1</v>
      </c>
      <c r="H307" s="833">
        <v>46.3</v>
      </c>
      <c r="I307" s="585"/>
      <c r="J307" s="647"/>
    </row>
    <row r="308" spans="1:10" s="582" customFormat="1" ht="15">
      <c r="A308" s="660"/>
      <c r="B308" s="679"/>
      <c r="C308" s="662"/>
      <c r="D308" s="663"/>
      <c r="E308" s="842" t="s">
        <v>28</v>
      </c>
      <c r="F308" s="843"/>
      <c r="G308" s="844"/>
      <c r="H308" s="846">
        <v>91880015</v>
      </c>
      <c r="I308" s="625"/>
      <c r="J308" s="1010"/>
    </row>
    <row r="309" spans="1:10" s="582" customFormat="1" ht="15">
      <c r="A309" s="660"/>
      <c r="B309" s="679"/>
      <c r="C309" s="662"/>
      <c r="D309" s="663"/>
      <c r="E309" s="842" t="s">
        <v>150</v>
      </c>
      <c r="F309" s="843"/>
      <c r="G309" s="844"/>
      <c r="H309" s="846" t="s">
        <v>71</v>
      </c>
      <c r="I309" s="625"/>
      <c r="J309" s="1010"/>
    </row>
    <row r="310" spans="1:10" s="582" customFormat="1" ht="30">
      <c r="A310" s="660">
        <v>3</v>
      </c>
      <c r="B310" s="690" t="s">
        <v>54</v>
      </c>
      <c r="C310" s="747" t="s">
        <v>55</v>
      </c>
      <c r="D310" s="663" t="s">
        <v>86</v>
      </c>
      <c r="E310" s="693"/>
      <c r="F310" s="664">
        <v>1</v>
      </c>
      <c r="G310" s="665">
        <v>2.8</v>
      </c>
      <c r="H310" s="833">
        <v>2.9</v>
      </c>
      <c r="I310" s="585"/>
      <c r="J310" s="1010"/>
    </row>
    <row r="311" spans="1:10" s="582" customFormat="1" ht="15">
      <c r="A311" s="660">
        <v>3</v>
      </c>
      <c r="B311" s="690" t="s">
        <v>422</v>
      </c>
      <c r="C311" s="710" t="s">
        <v>85</v>
      </c>
      <c r="D311" s="663" t="s">
        <v>423</v>
      </c>
      <c r="E311" s="693"/>
      <c r="F311" s="664">
        <v>1</v>
      </c>
      <c r="G311" s="665">
        <v>1.2</v>
      </c>
      <c r="H311" s="833">
        <v>1.4</v>
      </c>
      <c r="I311" s="585"/>
      <c r="J311" s="1010"/>
    </row>
    <row r="312" spans="1:10" s="582" customFormat="1" ht="15">
      <c r="A312" s="660">
        <v>3</v>
      </c>
      <c r="B312" s="690" t="s">
        <v>424</v>
      </c>
      <c r="C312" s="662">
        <v>4199357</v>
      </c>
      <c r="D312" s="663">
        <v>52244</v>
      </c>
      <c r="E312" s="663"/>
      <c r="F312" s="664">
        <v>1</v>
      </c>
      <c r="G312" s="665">
        <v>21.5</v>
      </c>
      <c r="H312" s="833">
        <v>22.1</v>
      </c>
      <c r="I312" s="585"/>
      <c r="J312" s="1010"/>
    </row>
    <row r="313" spans="1:10" s="582" customFormat="1" ht="15">
      <c r="A313" s="628"/>
      <c r="B313" s="605"/>
      <c r="C313" s="605"/>
      <c r="D313" s="651"/>
      <c r="E313" s="628"/>
      <c r="F313" s="628"/>
      <c r="G313" s="648"/>
      <c r="H313" s="648"/>
      <c r="I313" s="648"/>
      <c r="J313" s="1010"/>
    </row>
    <row r="314" spans="1:10" s="582" customFormat="1" ht="15">
      <c r="A314" s="628"/>
      <c r="B314" s="605"/>
      <c r="C314" s="605"/>
      <c r="D314" s="651"/>
      <c r="E314" s="628"/>
      <c r="F314" s="628"/>
      <c r="G314" s="648"/>
      <c r="H314" s="648"/>
      <c r="I314" s="648"/>
      <c r="J314" s="1010"/>
    </row>
    <row r="315" spans="1:10" s="582" customFormat="1" ht="15">
      <c r="A315" s="628"/>
      <c r="B315" s="605"/>
      <c r="C315" s="605"/>
      <c r="D315" s="651"/>
      <c r="E315" s="628"/>
      <c r="F315" s="628"/>
      <c r="G315" s="648"/>
      <c r="H315" s="648"/>
      <c r="I315" s="648"/>
      <c r="J315" s="1010"/>
    </row>
    <row r="316" spans="1:10" s="582" customFormat="1" ht="15">
      <c r="A316" s="628"/>
      <c r="B316" s="605"/>
      <c r="C316" s="605"/>
      <c r="D316" s="651"/>
      <c r="E316" s="628"/>
      <c r="F316" s="628"/>
      <c r="G316" s="648"/>
      <c r="H316" s="648"/>
      <c r="I316" s="648"/>
      <c r="J316" s="1010"/>
    </row>
    <row r="317" spans="1:10" s="582" customFormat="1" ht="15">
      <c r="A317" s="628"/>
      <c r="B317" s="605"/>
      <c r="C317" s="605"/>
      <c r="D317" s="651"/>
      <c r="E317" s="628"/>
      <c r="F317" s="628"/>
      <c r="G317" s="648"/>
      <c r="H317" s="648"/>
      <c r="I317" s="648"/>
      <c r="J317" s="1010"/>
    </row>
    <row r="318" spans="1:10" s="582" customFormat="1" ht="15">
      <c r="A318" s="628"/>
      <c r="B318" s="605"/>
      <c r="C318" s="605"/>
      <c r="D318" s="651"/>
      <c r="E318" s="628"/>
      <c r="F318" s="628"/>
      <c r="G318" s="648"/>
      <c r="H318" s="648"/>
      <c r="I318" s="648"/>
      <c r="J318" s="1010"/>
    </row>
    <row r="319" spans="1:10" s="582" customFormat="1" ht="15">
      <c r="A319" s="628"/>
      <c r="B319" s="605"/>
      <c r="C319" s="605"/>
      <c r="D319" s="651"/>
      <c r="E319" s="628"/>
      <c r="F319" s="628"/>
      <c r="G319" s="648"/>
      <c r="H319" s="648"/>
      <c r="I319" s="648"/>
      <c r="J319" s="1010"/>
    </row>
    <row r="320" spans="1:10" s="582" customFormat="1" ht="15">
      <c r="A320" s="628"/>
      <c r="B320" s="605"/>
      <c r="C320" s="605"/>
      <c r="D320" s="651"/>
      <c r="E320" s="628"/>
      <c r="F320" s="628"/>
      <c r="G320" s="648"/>
      <c r="H320" s="648"/>
      <c r="I320" s="648"/>
      <c r="J320" s="1010"/>
    </row>
    <row r="321" spans="1:9" s="582" customFormat="1" ht="15">
      <c r="A321" s="628"/>
      <c r="B321" s="605"/>
      <c r="C321" s="605"/>
      <c r="D321" s="651"/>
      <c r="E321" s="628"/>
      <c r="F321" s="628"/>
      <c r="G321" s="648"/>
      <c r="H321" s="648"/>
      <c r="I321" s="648"/>
    </row>
    <row r="322" spans="1:10" s="582" customFormat="1" ht="15">
      <c r="A322" s="628"/>
      <c r="B322" s="605"/>
      <c r="C322" s="605"/>
      <c r="D322" s="651"/>
      <c r="E322" s="628"/>
      <c r="F322" s="628"/>
      <c r="G322" s="648"/>
      <c r="H322" s="648"/>
      <c r="I322" s="648"/>
      <c r="J322" s="1010"/>
    </row>
    <row r="323" spans="1:10" s="582" customFormat="1" ht="15">
      <c r="A323" s="628"/>
      <c r="B323" s="605"/>
      <c r="C323" s="605"/>
      <c r="D323" s="651"/>
      <c r="E323" s="628"/>
      <c r="F323" s="628"/>
      <c r="G323" s="648"/>
      <c r="H323" s="648"/>
      <c r="I323" s="648"/>
      <c r="J323" s="1010"/>
    </row>
    <row r="324" spans="1:10" s="582" customFormat="1" ht="15">
      <c r="A324" s="628"/>
      <c r="B324" s="605"/>
      <c r="C324" s="605"/>
      <c r="D324" s="651"/>
      <c r="E324" s="628"/>
      <c r="F324" s="628"/>
      <c r="G324" s="648"/>
      <c r="H324" s="648"/>
      <c r="I324" s="648"/>
      <c r="J324" s="1010"/>
    </row>
    <row r="325" spans="1:10" s="582" customFormat="1" ht="15">
      <c r="A325" s="628"/>
      <c r="B325" s="605"/>
      <c r="C325" s="605"/>
      <c r="D325" s="651"/>
      <c r="E325" s="628"/>
      <c r="F325" s="628"/>
      <c r="G325" s="648"/>
      <c r="H325" s="648"/>
      <c r="I325" s="648"/>
      <c r="J325" s="1010"/>
    </row>
    <row r="326" spans="1:10" s="582" customFormat="1" ht="15">
      <c r="A326" s="628"/>
      <c r="B326" s="605"/>
      <c r="C326" s="605"/>
      <c r="D326" s="651"/>
      <c r="E326" s="628"/>
      <c r="F326" s="628"/>
      <c r="G326" s="648"/>
      <c r="H326" s="648"/>
      <c r="I326" s="648"/>
      <c r="J326" s="1010"/>
    </row>
    <row r="327" spans="1:9" s="647" customFormat="1" ht="15">
      <c r="A327" s="628"/>
      <c r="B327" s="605"/>
      <c r="C327" s="605"/>
      <c r="D327" s="651"/>
      <c r="E327" s="628"/>
      <c r="F327" s="628"/>
      <c r="G327" s="648"/>
      <c r="H327" s="648"/>
      <c r="I327" s="648"/>
    </row>
    <row r="328" spans="1:10" s="582" customFormat="1" ht="15">
      <c r="A328" s="628"/>
      <c r="B328" s="605"/>
      <c r="C328" s="605"/>
      <c r="D328" s="651"/>
      <c r="E328" s="628"/>
      <c r="F328" s="628"/>
      <c r="G328" s="648"/>
      <c r="H328" s="648"/>
      <c r="I328" s="648"/>
      <c r="J328" s="1010"/>
    </row>
    <row r="329" spans="1:10" s="582" customFormat="1" ht="15">
      <c r="A329" s="628"/>
      <c r="B329" s="605"/>
      <c r="C329" s="605"/>
      <c r="D329" s="651"/>
      <c r="E329" s="628"/>
      <c r="F329" s="628"/>
      <c r="G329" s="648"/>
      <c r="H329" s="648"/>
      <c r="I329" s="648"/>
      <c r="J329" s="1010"/>
    </row>
    <row r="330" spans="1:10" s="582" customFormat="1" ht="15">
      <c r="A330" s="628"/>
      <c r="B330" s="605"/>
      <c r="C330" s="605"/>
      <c r="D330" s="651"/>
      <c r="E330" s="628"/>
      <c r="F330" s="628"/>
      <c r="G330" s="648"/>
      <c r="H330" s="648"/>
      <c r="I330" s="648"/>
      <c r="J330" s="1010"/>
    </row>
    <row r="331" spans="1:10" s="582" customFormat="1" ht="15">
      <c r="A331" s="628"/>
      <c r="B331" s="605"/>
      <c r="C331" s="605"/>
      <c r="D331" s="651"/>
      <c r="E331" s="628"/>
      <c r="F331" s="628"/>
      <c r="G331" s="648"/>
      <c r="H331" s="648"/>
      <c r="I331" s="648"/>
      <c r="J331" s="1010"/>
    </row>
    <row r="332" spans="1:10" s="582" customFormat="1" ht="15">
      <c r="A332" s="628"/>
      <c r="B332" s="605"/>
      <c r="C332" s="605"/>
      <c r="D332" s="651"/>
      <c r="E332" s="628"/>
      <c r="F332" s="628"/>
      <c r="G332" s="648"/>
      <c r="H332" s="648"/>
      <c r="I332" s="648"/>
      <c r="J332" s="1010"/>
    </row>
    <row r="333" spans="1:10" s="582" customFormat="1" ht="15">
      <c r="A333" s="628"/>
      <c r="B333" s="605"/>
      <c r="C333" s="605"/>
      <c r="D333" s="651"/>
      <c r="E333" s="628"/>
      <c r="F333" s="628"/>
      <c r="G333" s="648"/>
      <c r="H333" s="648"/>
      <c r="I333" s="648"/>
      <c r="J333" s="647"/>
    </row>
    <row r="334" spans="1:10" s="582" customFormat="1" ht="15">
      <c r="A334" s="628"/>
      <c r="B334" s="605"/>
      <c r="C334" s="605"/>
      <c r="D334" s="651"/>
      <c r="E334" s="628"/>
      <c r="F334" s="628"/>
      <c r="G334" s="648"/>
      <c r="H334" s="648"/>
      <c r="I334" s="648"/>
      <c r="J334" s="1010"/>
    </row>
    <row r="335" spans="1:10" s="582" customFormat="1" ht="15">
      <c r="A335" s="628"/>
      <c r="B335" s="605"/>
      <c r="C335" s="605"/>
      <c r="D335" s="651"/>
      <c r="E335" s="628"/>
      <c r="F335" s="628"/>
      <c r="G335" s="648"/>
      <c r="H335" s="648"/>
      <c r="I335" s="648"/>
      <c r="J335" s="1010"/>
    </row>
    <row r="336" spans="1:10" s="582" customFormat="1" ht="15">
      <c r="A336" s="628"/>
      <c r="B336" s="605"/>
      <c r="C336" s="605"/>
      <c r="D336" s="651"/>
      <c r="E336" s="628"/>
      <c r="F336" s="628"/>
      <c r="G336" s="648"/>
      <c r="H336" s="648"/>
      <c r="I336" s="648"/>
      <c r="J336" s="1010"/>
    </row>
    <row r="337" spans="1:9" s="582" customFormat="1" ht="15">
      <c r="A337" s="628"/>
      <c r="B337" s="605"/>
      <c r="C337" s="605"/>
      <c r="D337" s="651"/>
      <c r="E337" s="628"/>
      <c r="F337" s="628"/>
      <c r="G337" s="648"/>
      <c r="H337" s="648"/>
      <c r="I337" s="648"/>
    </row>
    <row r="338" spans="1:10" s="582" customFormat="1" ht="15">
      <c r="A338" s="628"/>
      <c r="B338" s="605"/>
      <c r="C338" s="605"/>
      <c r="D338" s="651"/>
      <c r="E338" s="628"/>
      <c r="F338" s="628"/>
      <c r="G338" s="648"/>
      <c r="H338" s="648"/>
      <c r="I338" s="648"/>
      <c r="J338" s="644"/>
    </row>
    <row r="339" spans="1:10" s="582" customFormat="1" ht="15">
      <c r="A339" s="628"/>
      <c r="B339" s="605"/>
      <c r="C339" s="605"/>
      <c r="D339" s="651"/>
      <c r="E339" s="628"/>
      <c r="F339" s="628"/>
      <c r="G339" s="648"/>
      <c r="H339" s="648"/>
      <c r="I339" s="648"/>
      <c r="J339" s="1010"/>
    </row>
    <row r="340" spans="1:10" s="582" customFormat="1" ht="15">
      <c r="A340" s="628"/>
      <c r="B340" s="605"/>
      <c r="C340" s="605"/>
      <c r="D340" s="651"/>
      <c r="E340" s="628"/>
      <c r="F340" s="628"/>
      <c r="G340" s="648"/>
      <c r="H340" s="648"/>
      <c r="I340" s="648"/>
      <c r="J340" s="1010"/>
    </row>
    <row r="341" spans="1:10" s="582" customFormat="1" ht="15">
      <c r="A341" s="628"/>
      <c r="B341" s="605"/>
      <c r="C341" s="605"/>
      <c r="D341" s="651"/>
      <c r="E341" s="628"/>
      <c r="F341" s="628"/>
      <c r="G341" s="648"/>
      <c r="H341" s="648"/>
      <c r="I341" s="648"/>
      <c r="J341" s="1010"/>
    </row>
    <row r="342" spans="1:10" s="582" customFormat="1" ht="15">
      <c r="A342" s="628"/>
      <c r="B342" s="605"/>
      <c r="C342" s="605"/>
      <c r="D342" s="651"/>
      <c r="E342" s="628"/>
      <c r="F342" s="628"/>
      <c r="G342" s="648"/>
      <c r="H342" s="648"/>
      <c r="I342" s="648"/>
      <c r="J342" s="1010"/>
    </row>
    <row r="343" spans="1:10" s="582" customFormat="1" ht="15">
      <c r="A343" s="628"/>
      <c r="B343" s="605"/>
      <c r="C343" s="605"/>
      <c r="D343" s="651"/>
      <c r="E343" s="628"/>
      <c r="F343" s="628"/>
      <c r="G343" s="648"/>
      <c r="H343" s="648"/>
      <c r="I343" s="648"/>
      <c r="J343" s="1010"/>
    </row>
    <row r="344" spans="1:10" s="582" customFormat="1" ht="15">
      <c r="A344" s="628"/>
      <c r="B344" s="605"/>
      <c r="C344" s="605"/>
      <c r="D344" s="651"/>
      <c r="E344" s="628"/>
      <c r="F344" s="628"/>
      <c r="G344" s="648"/>
      <c r="H344" s="648"/>
      <c r="I344" s="648"/>
      <c r="J344" s="584"/>
    </row>
    <row r="345" spans="1:10" s="582" customFormat="1" ht="15">
      <c r="A345" s="628"/>
      <c r="B345" s="605"/>
      <c r="C345" s="605"/>
      <c r="D345" s="651"/>
      <c r="E345" s="628"/>
      <c r="F345" s="628"/>
      <c r="G345" s="648"/>
      <c r="H345" s="648"/>
      <c r="I345" s="648"/>
      <c r="J345" s="1010"/>
    </row>
    <row r="346" spans="1:10" s="647" customFormat="1" ht="15">
      <c r="A346" s="628"/>
      <c r="B346" s="605"/>
      <c r="C346" s="605"/>
      <c r="D346" s="651"/>
      <c r="E346" s="628"/>
      <c r="F346" s="628"/>
      <c r="G346" s="648"/>
      <c r="H346" s="648"/>
      <c r="I346" s="648"/>
      <c r="J346" s="582"/>
    </row>
    <row r="347" spans="1:10" s="582" customFormat="1" ht="15">
      <c r="A347" s="628"/>
      <c r="B347" s="605"/>
      <c r="C347" s="605"/>
      <c r="D347" s="651"/>
      <c r="E347" s="628"/>
      <c r="F347" s="628"/>
      <c r="G347" s="648"/>
      <c r="H347" s="648"/>
      <c r="I347" s="648"/>
      <c r="J347" s="584"/>
    </row>
    <row r="348" spans="1:10" s="582" customFormat="1" ht="15">
      <c r="A348" s="628"/>
      <c r="B348" s="605"/>
      <c r="C348" s="605"/>
      <c r="D348" s="651"/>
      <c r="E348" s="628"/>
      <c r="F348" s="628"/>
      <c r="G348" s="648"/>
      <c r="H348" s="648"/>
      <c r="I348" s="648"/>
      <c r="J348" s="1010"/>
    </row>
    <row r="349" spans="1:10" s="582" customFormat="1" ht="15">
      <c r="A349" s="628"/>
      <c r="B349" s="605"/>
      <c r="C349" s="605"/>
      <c r="D349" s="651"/>
      <c r="E349" s="628"/>
      <c r="F349" s="628"/>
      <c r="G349" s="648"/>
      <c r="H349" s="648"/>
      <c r="I349" s="648"/>
      <c r="J349" s="612"/>
    </row>
    <row r="350" spans="1:10" s="582" customFormat="1" ht="15">
      <c r="A350" s="628"/>
      <c r="B350" s="605"/>
      <c r="C350" s="605"/>
      <c r="D350" s="651"/>
      <c r="E350" s="628"/>
      <c r="F350" s="628"/>
      <c r="G350" s="648"/>
      <c r="H350" s="648"/>
      <c r="I350" s="648"/>
      <c r="J350" s="584"/>
    </row>
    <row r="351" spans="1:10" s="582" customFormat="1" ht="15">
      <c r="A351" s="628"/>
      <c r="B351" s="605"/>
      <c r="C351" s="605"/>
      <c r="D351" s="651"/>
      <c r="E351" s="628"/>
      <c r="F351" s="628"/>
      <c r="G351" s="648"/>
      <c r="H351" s="648"/>
      <c r="I351" s="648"/>
      <c r="J351" s="1010"/>
    </row>
    <row r="352" spans="1:10" s="647" customFormat="1" ht="15">
      <c r="A352" s="628"/>
      <c r="B352" s="605"/>
      <c r="C352" s="605"/>
      <c r="D352" s="651"/>
      <c r="E352" s="628"/>
      <c r="F352" s="628"/>
      <c r="G352" s="648"/>
      <c r="H352" s="648"/>
      <c r="I352" s="648"/>
      <c r="J352" s="590"/>
    </row>
    <row r="353" spans="1:9" s="582" customFormat="1" ht="15">
      <c r="A353" s="628"/>
      <c r="B353" s="605"/>
      <c r="C353" s="605"/>
      <c r="D353" s="651"/>
      <c r="E353" s="628"/>
      <c r="F353" s="628"/>
      <c r="G353" s="648"/>
      <c r="H353" s="648"/>
      <c r="I353" s="648"/>
    </row>
    <row r="354" spans="1:10" s="582" customFormat="1" ht="15">
      <c r="A354" s="628"/>
      <c r="B354" s="605"/>
      <c r="C354" s="605"/>
      <c r="D354" s="651"/>
      <c r="E354" s="628"/>
      <c r="F354" s="628"/>
      <c r="G354" s="648"/>
      <c r="H354" s="648"/>
      <c r="I354" s="648"/>
      <c r="J354" s="1010"/>
    </row>
    <row r="355" spans="1:10" s="582" customFormat="1" ht="15">
      <c r="A355" s="628"/>
      <c r="B355" s="605"/>
      <c r="C355" s="605"/>
      <c r="D355" s="651"/>
      <c r="E355" s="628"/>
      <c r="F355" s="628"/>
      <c r="G355" s="648"/>
      <c r="H355" s="648"/>
      <c r="I355" s="648"/>
      <c r="J355" s="1010"/>
    </row>
    <row r="356" spans="1:10" s="582" customFormat="1" ht="15">
      <c r="A356" s="628"/>
      <c r="B356" s="605"/>
      <c r="C356" s="605"/>
      <c r="D356" s="651"/>
      <c r="E356" s="628"/>
      <c r="F356" s="628"/>
      <c r="G356" s="648"/>
      <c r="H356" s="648"/>
      <c r="I356" s="648"/>
      <c r="J356" s="1010"/>
    </row>
    <row r="357" spans="1:10" s="644" customFormat="1" ht="15">
      <c r="A357" s="628"/>
      <c r="B357" s="605"/>
      <c r="C357" s="605"/>
      <c r="D357" s="651"/>
      <c r="E357" s="628"/>
      <c r="F357" s="628"/>
      <c r="G357" s="648"/>
      <c r="H357" s="648"/>
      <c r="I357" s="648"/>
      <c r="J357" s="604"/>
    </row>
    <row r="358" spans="1:10" s="582" customFormat="1" ht="15">
      <c r="A358" s="628"/>
      <c r="B358" s="605"/>
      <c r="C358" s="605"/>
      <c r="D358" s="651"/>
      <c r="E358" s="628"/>
      <c r="F358" s="628"/>
      <c r="G358" s="648"/>
      <c r="H358" s="648"/>
      <c r="I358" s="648"/>
      <c r="J358" s="1010"/>
    </row>
    <row r="359" spans="1:10" s="582" customFormat="1" ht="15">
      <c r="A359" s="628"/>
      <c r="B359" s="605"/>
      <c r="C359" s="605"/>
      <c r="D359" s="651"/>
      <c r="E359" s="628"/>
      <c r="F359" s="628"/>
      <c r="G359" s="648"/>
      <c r="H359" s="648"/>
      <c r="I359" s="648"/>
      <c r="J359" s="590"/>
    </row>
    <row r="360" spans="1:10" s="582" customFormat="1" ht="15">
      <c r="A360" s="628"/>
      <c r="B360" s="605"/>
      <c r="C360" s="605"/>
      <c r="D360" s="651"/>
      <c r="E360" s="628"/>
      <c r="F360" s="628"/>
      <c r="G360" s="648"/>
      <c r="H360" s="648"/>
      <c r="I360" s="648"/>
      <c r="J360" s="1010"/>
    </row>
    <row r="361" spans="1:10" s="582" customFormat="1" ht="15">
      <c r="A361" s="628"/>
      <c r="B361" s="605"/>
      <c r="C361" s="605"/>
      <c r="D361" s="651"/>
      <c r="E361" s="628"/>
      <c r="F361" s="628"/>
      <c r="G361" s="648"/>
      <c r="H361" s="648"/>
      <c r="I361" s="648"/>
      <c r="J361" s="1010"/>
    </row>
    <row r="362" spans="1:10" s="582" customFormat="1" ht="15">
      <c r="A362" s="628"/>
      <c r="B362" s="605"/>
      <c r="C362" s="605"/>
      <c r="D362" s="651"/>
      <c r="E362" s="628"/>
      <c r="F362" s="628"/>
      <c r="G362" s="648"/>
      <c r="H362" s="648"/>
      <c r="I362" s="648"/>
      <c r="J362" s="1010"/>
    </row>
    <row r="363" spans="1:10" s="584" customFormat="1" ht="15">
      <c r="A363" s="628"/>
      <c r="B363" s="605"/>
      <c r="C363" s="605"/>
      <c r="D363" s="651"/>
      <c r="E363" s="628"/>
      <c r="F363" s="628"/>
      <c r="G363" s="648"/>
      <c r="H363" s="648"/>
      <c r="I363" s="648"/>
      <c r="J363" s="582"/>
    </row>
    <row r="364" spans="1:10" s="584" customFormat="1" ht="15">
      <c r="A364" s="628"/>
      <c r="B364" s="605"/>
      <c r="C364" s="605"/>
      <c r="D364" s="651"/>
      <c r="E364" s="628"/>
      <c r="F364" s="628"/>
      <c r="G364" s="648"/>
      <c r="H364" s="648"/>
      <c r="I364" s="648"/>
      <c r="J364" s="582"/>
    </row>
    <row r="365" spans="1:10" s="584" customFormat="1" ht="15">
      <c r="A365" s="628"/>
      <c r="B365" s="605"/>
      <c r="C365" s="605"/>
      <c r="D365" s="651"/>
      <c r="E365" s="628"/>
      <c r="F365" s="628"/>
      <c r="G365" s="648"/>
      <c r="H365" s="648"/>
      <c r="I365" s="648"/>
      <c r="J365" s="582"/>
    </row>
    <row r="366" spans="1:10" s="584" customFormat="1" ht="15">
      <c r="A366" s="628"/>
      <c r="B366" s="605"/>
      <c r="C366" s="605"/>
      <c r="D366" s="651"/>
      <c r="E366" s="628"/>
      <c r="F366" s="628"/>
      <c r="G366" s="648"/>
      <c r="H366" s="648"/>
      <c r="I366" s="648"/>
      <c r="J366" s="582"/>
    </row>
    <row r="367" spans="1:9" s="584" customFormat="1" ht="15">
      <c r="A367" s="628"/>
      <c r="B367" s="605"/>
      <c r="C367" s="605"/>
      <c r="D367" s="651"/>
      <c r="E367" s="628"/>
      <c r="F367" s="628"/>
      <c r="G367" s="648"/>
      <c r="H367" s="648"/>
      <c r="I367" s="648"/>
    </row>
    <row r="368" spans="1:10" s="582" customFormat="1" ht="15">
      <c r="A368" s="628"/>
      <c r="B368" s="605"/>
      <c r="C368" s="605"/>
      <c r="D368" s="651"/>
      <c r="E368" s="628"/>
      <c r="F368" s="628"/>
      <c r="G368" s="648"/>
      <c r="H368" s="648"/>
      <c r="I368" s="648"/>
      <c r="J368" s="584"/>
    </row>
    <row r="369" spans="1:10" s="582" customFormat="1" ht="15">
      <c r="A369" s="628"/>
      <c r="B369" s="605"/>
      <c r="C369" s="605"/>
      <c r="D369" s="651"/>
      <c r="E369" s="628"/>
      <c r="F369" s="628"/>
      <c r="G369" s="648"/>
      <c r="H369" s="648"/>
      <c r="I369" s="648"/>
      <c r="J369" s="604"/>
    </row>
    <row r="370" spans="1:9" s="584" customFormat="1" ht="15">
      <c r="A370" s="628"/>
      <c r="B370" s="605"/>
      <c r="C370" s="605"/>
      <c r="D370" s="651"/>
      <c r="E370" s="628"/>
      <c r="F370" s="628"/>
      <c r="G370" s="648"/>
      <c r="H370" s="648"/>
      <c r="I370" s="648"/>
    </row>
    <row r="371" spans="1:10" s="584" customFormat="1" ht="15">
      <c r="A371" s="628"/>
      <c r="B371" s="605"/>
      <c r="C371" s="605"/>
      <c r="D371" s="651"/>
      <c r="E371" s="628"/>
      <c r="F371" s="628"/>
      <c r="G371" s="648"/>
      <c r="H371" s="648"/>
      <c r="I371" s="648"/>
      <c r="J371" s="649"/>
    </row>
    <row r="372" spans="1:10" s="584" customFormat="1" ht="15">
      <c r="A372" s="628"/>
      <c r="B372" s="605"/>
      <c r="C372" s="605"/>
      <c r="D372" s="651"/>
      <c r="E372" s="628"/>
      <c r="F372" s="628"/>
      <c r="G372" s="648"/>
      <c r="H372" s="648"/>
      <c r="I372" s="648"/>
      <c r="J372" s="649"/>
    </row>
    <row r="373" spans="1:9" s="584" customFormat="1" ht="15">
      <c r="A373" s="628"/>
      <c r="B373" s="605"/>
      <c r="C373" s="605"/>
      <c r="D373" s="651"/>
      <c r="E373" s="628"/>
      <c r="F373" s="628"/>
      <c r="G373" s="648"/>
      <c r="H373" s="648"/>
      <c r="I373" s="648"/>
    </row>
    <row r="374" spans="1:9" s="584" customFormat="1" ht="15">
      <c r="A374" s="628"/>
      <c r="B374" s="605"/>
      <c r="C374" s="605"/>
      <c r="D374" s="651"/>
      <c r="E374" s="628"/>
      <c r="F374" s="628"/>
      <c r="G374" s="648"/>
      <c r="H374" s="648"/>
      <c r="I374" s="648"/>
    </row>
    <row r="375" spans="1:13" s="582" customFormat="1" ht="15">
      <c r="A375" s="628"/>
      <c r="B375" s="605"/>
      <c r="C375" s="605"/>
      <c r="D375" s="651"/>
      <c r="E375" s="628"/>
      <c r="F375" s="628"/>
      <c r="G375" s="648"/>
      <c r="H375" s="648"/>
      <c r="I375" s="648"/>
      <c r="J375" s="584"/>
      <c r="K375" s="1010"/>
      <c r="L375" s="1010"/>
      <c r="M375" s="1010"/>
    </row>
    <row r="376" spans="1:13" s="612" customFormat="1" ht="15">
      <c r="A376" s="628"/>
      <c r="B376" s="605"/>
      <c r="C376" s="605"/>
      <c r="D376" s="651"/>
      <c r="E376" s="628"/>
      <c r="F376" s="628"/>
      <c r="G376" s="648"/>
      <c r="H376" s="648"/>
      <c r="I376" s="648"/>
      <c r="J376" s="584"/>
      <c r="L376" s="584"/>
      <c r="M376" s="584"/>
    </row>
    <row r="377" spans="1:13" s="612" customFormat="1" ht="15">
      <c r="A377" s="628"/>
      <c r="B377" s="605"/>
      <c r="C377" s="605"/>
      <c r="D377" s="651"/>
      <c r="E377" s="628"/>
      <c r="F377" s="628"/>
      <c r="G377" s="648"/>
      <c r="H377" s="648"/>
      <c r="I377" s="648"/>
      <c r="J377" s="584"/>
      <c r="L377" s="584"/>
      <c r="M377" s="584"/>
    </row>
    <row r="378" spans="1:13" s="612" customFormat="1" ht="15">
      <c r="A378" s="628"/>
      <c r="B378" s="605"/>
      <c r="C378" s="605"/>
      <c r="D378" s="651"/>
      <c r="E378" s="628"/>
      <c r="F378" s="628"/>
      <c r="G378" s="648"/>
      <c r="H378" s="648"/>
      <c r="I378" s="648"/>
      <c r="J378" s="584"/>
      <c r="L378" s="584"/>
      <c r="M378" s="584"/>
    </row>
    <row r="379" spans="1:10" s="584" customFormat="1" ht="15">
      <c r="A379" s="628"/>
      <c r="B379" s="605"/>
      <c r="C379" s="605"/>
      <c r="D379" s="651"/>
      <c r="E379" s="628"/>
      <c r="F379" s="628"/>
      <c r="G379" s="648"/>
      <c r="H379" s="648"/>
      <c r="I379" s="648"/>
      <c r="J379" s="612"/>
    </row>
    <row r="380" spans="1:13" s="582" customFormat="1" ht="15">
      <c r="A380" s="628"/>
      <c r="B380" s="605"/>
      <c r="C380" s="605"/>
      <c r="D380" s="651"/>
      <c r="E380" s="628"/>
      <c r="F380" s="628"/>
      <c r="G380" s="648"/>
      <c r="H380" s="648"/>
      <c r="I380" s="648"/>
      <c r="J380" s="584"/>
      <c r="K380" s="1010"/>
      <c r="L380" s="1010"/>
      <c r="M380" s="1010"/>
    </row>
    <row r="381" spans="1:13" s="590" customFormat="1" ht="15">
      <c r="A381" s="628"/>
      <c r="B381" s="605"/>
      <c r="C381" s="605"/>
      <c r="D381" s="651"/>
      <c r="E381" s="628"/>
      <c r="F381" s="628"/>
      <c r="G381" s="648"/>
      <c r="H381" s="648"/>
      <c r="I381" s="648"/>
      <c r="J381" s="584"/>
      <c r="L381" s="582"/>
      <c r="M381" s="582"/>
    </row>
    <row r="382" spans="1:13" s="582" customFormat="1" ht="15">
      <c r="A382" s="628"/>
      <c r="B382" s="605"/>
      <c r="C382" s="605"/>
      <c r="D382" s="651"/>
      <c r="E382" s="628"/>
      <c r="F382" s="628"/>
      <c r="G382" s="648"/>
      <c r="H382" s="648"/>
      <c r="I382" s="648"/>
      <c r="J382" s="612"/>
      <c r="K382" s="1010"/>
      <c r="L382" s="1010"/>
      <c r="M382" s="1010"/>
    </row>
    <row r="383" spans="1:13" s="582" customFormat="1" ht="15">
      <c r="A383" s="628"/>
      <c r="B383" s="605"/>
      <c r="C383" s="605"/>
      <c r="D383" s="651"/>
      <c r="E383" s="628"/>
      <c r="F383" s="628"/>
      <c r="G383" s="648"/>
      <c r="H383" s="648"/>
      <c r="I383" s="648"/>
      <c r="J383" s="605"/>
      <c r="K383" s="1010"/>
      <c r="L383" s="1010"/>
      <c r="M383" s="1010"/>
    </row>
    <row r="384" spans="1:13" s="582" customFormat="1" ht="15">
      <c r="A384" s="628"/>
      <c r="B384" s="605"/>
      <c r="C384" s="605"/>
      <c r="D384" s="651"/>
      <c r="E384" s="628"/>
      <c r="F384" s="628"/>
      <c r="G384" s="648"/>
      <c r="H384" s="648"/>
      <c r="I384" s="648"/>
      <c r="J384" s="605"/>
      <c r="K384" s="1010"/>
      <c r="L384" s="1010"/>
      <c r="M384" s="1010"/>
    </row>
    <row r="385" spans="1:10" s="582" customFormat="1" ht="15">
      <c r="A385" s="628"/>
      <c r="B385" s="605"/>
      <c r="C385" s="605"/>
      <c r="D385" s="651"/>
      <c r="E385" s="628"/>
      <c r="F385" s="628"/>
      <c r="G385" s="648"/>
      <c r="H385" s="648"/>
      <c r="I385" s="648"/>
      <c r="J385" s="605"/>
    </row>
    <row r="386" spans="1:19" s="582" customFormat="1" ht="15">
      <c r="A386" s="628"/>
      <c r="B386" s="605"/>
      <c r="C386" s="605"/>
      <c r="D386" s="651"/>
      <c r="E386" s="628"/>
      <c r="F386" s="628"/>
      <c r="G386" s="648"/>
      <c r="H386" s="648"/>
      <c r="I386" s="648"/>
      <c r="J386" s="605"/>
      <c r="K386" s="604"/>
      <c r="L386" s="604"/>
      <c r="M386" s="604"/>
      <c r="N386" s="604"/>
      <c r="O386" s="604"/>
      <c r="P386" s="604"/>
      <c r="Q386" s="604"/>
      <c r="R386" s="604"/>
      <c r="S386" s="604"/>
    </row>
    <row r="387" spans="1:19" s="582" customFormat="1" ht="15">
      <c r="A387" s="628"/>
      <c r="B387" s="605"/>
      <c r="C387" s="605"/>
      <c r="D387" s="651"/>
      <c r="E387" s="628"/>
      <c r="F387" s="628"/>
      <c r="G387" s="648"/>
      <c r="H387" s="648"/>
      <c r="I387" s="648"/>
      <c r="J387" s="605"/>
      <c r="K387" s="1010"/>
      <c r="L387" s="1010"/>
      <c r="M387" s="1010"/>
      <c r="N387" s="1010"/>
      <c r="O387" s="1010"/>
      <c r="P387" s="1010"/>
      <c r="Q387" s="1010"/>
      <c r="R387" s="1010"/>
      <c r="S387" s="1010"/>
    </row>
    <row r="388" spans="1:10" s="590" customFormat="1" ht="15">
      <c r="A388" s="628"/>
      <c r="B388" s="605"/>
      <c r="C388" s="605"/>
      <c r="D388" s="651"/>
      <c r="E388" s="628"/>
      <c r="F388" s="628"/>
      <c r="G388" s="648"/>
      <c r="H388" s="648"/>
      <c r="I388" s="648"/>
      <c r="J388" s="605"/>
    </row>
    <row r="389" spans="1:19" s="582" customFormat="1" ht="15">
      <c r="A389" s="628"/>
      <c r="B389" s="605"/>
      <c r="C389" s="605"/>
      <c r="D389" s="651"/>
      <c r="E389" s="628"/>
      <c r="F389" s="628"/>
      <c r="G389" s="648"/>
      <c r="H389" s="648"/>
      <c r="I389" s="648"/>
      <c r="J389" s="605"/>
      <c r="K389" s="1010"/>
      <c r="L389" s="1010"/>
      <c r="M389" s="1010"/>
      <c r="N389" s="1010"/>
      <c r="O389" s="1010"/>
      <c r="P389" s="1010"/>
      <c r="Q389" s="1010"/>
      <c r="R389" s="1010"/>
      <c r="S389" s="1010"/>
    </row>
    <row r="390" spans="1:19" s="582" customFormat="1" ht="15">
      <c r="A390" s="628"/>
      <c r="B390" s="605"/>
      <c r="C390" s="605"/>
      <c r="D390" s="651"/>
      <c r="E390" s="628"/>
      <c r="F390" s="628"/>
      <c r="G390" s="648"/>
      <c r="H390" s="648"/>
      <c r="I390" s="648"/>
      <c r="J390" s="605"/>
      <c r="K390" s="1010"/>
      <c r="L390" s="1010"/>
      <c r="M390" s="1010"/>
      <c r="N390" s="1010"/>
      <c r="O390" s="1010"/>
      <c r="P390" s="1010"/>
      <c r="Q390" s="1010"/>
      <c r="R390" s="1010"/>
      <c r="S390" s="1010"/>
    </row>
    <row r="391" spans="1:19" s="582" customFormat="1" ht="15">
      <c r="A391" s="628"/>
      <c r="B391" s="605"/>
      <c r="C391" s="605"/>
      <c r="D391" s="651"/>
      <c r="E391" s="628"/>
      <c r="F391" s="628"/>
      <c r="G391" s="648"/>
      <c r="H391" s="648"/>
      <c r="I391" s="648"/>
      <c r="J391" s="605"/>
      <c r="K391" s="1010"/>
      <c r="L391" s="1010"/>
      <c r="M391" s="1010"/>
      <c r="N391" s="1010"/>
      <c r="O391" s="1010"/>
      <c r="P391" s="1010"/>
      <c r="Q391" s="1010"/>
      <c r="R391" s="1010"/>
      <c r="S391" s="1010"/>
    </row>
    <row r="392" spans="1:19" s="582" customFormat="1" ht="15">
      <c r="A392" s="628"/>
      <c r="B392" s="605"/>
      <c r="C392" s="605"/>
      <c r="D392" s="651"/>
      <c r="E392" s="628"/>
      <c r="F392" s="628"/>
      <c r="G392" s="648"/>
      <c r="H392" s="648"/>
      <c r="I392" s="648"/>
      <c r="J392" s="605"/>
      <c r="K392" s="1010"/>
      <c r="L392" s="1010"/>
      <c r="M392" s="1010"/>
      <c r="N392" s="1010"/>
      <c r="O392" s="1010"/>
      <c r="P392" s="1010"/>
      <c r="Q392" s="1010"/>
      <c r="R392" s="1010"/>
      <c r="S392" s="1010"/>
    </row>
    <row r="393" spans="1:19" s="582" customFormat="1" ht="15">
      <c r="A393" s="628"/>
      <c r="B393" s="605"/>
      <c r="C393" s="605"/>
      <c r="D393" s="651"/>
      <c r="E393" s="628"/>
      <c r="F393" s="628"/>
      <c r="G393" s="648"/>
      <c r="H393" s="648"/>
      <c r="I393" s="648"/>
      <c r="J393" s="605"/>
      <c r="K393" s="1010"/>
      <c r="L393" s="1010"/>
      <c r="M393" s="1010"/>
      <c r="N393" s="1010"/>
      <c r="O393" s="1010"/>
      <c r="P393" s="1010"/>
      <c r="Q393" s="1010"/>
      <c r="R393" s="1010"/>
      <c r="S393" s="1010"/>
    </row>
    <row r="394" spans="1:19" s="582" customFormat="1" ht="15">
      <c r="A394" s="628"/>
      <c r="B394" s="605"/>
      <c r="C394" s="605"/>
      <c r="D394" s="651"/>
      <c r="E394" s="628"/>
      <c r="F394" s="628"/>
      <c r="G394" s="648"/>
      <c r="H394" s="648"/>
      <c r="I394" s="648"/>
      <c r="J394" s="605"/>
      <c r="K394" s="1010"/>
      <c r="L394" s="1010"/>
      <c r="M394" s="1010"/>
      <c r="N394" s="1010"/>
      <c r="O394" s="1010"/>
      <c r="P394" s="1010"/>
      <c r="Q394" s="1010"/>
      <c r="R394" s="1010"/>
      <c r="S394" s="1010"/>
    </row>
    <row r="395" spans="1:19" s="582" customFormat="1" ht="15">
      <c r="A395" s="628"/>
      <c r="B395" s="605"/>
      <c r="C395" s="605"/>
      <c r="D395" s="651"/>
      <c r="E395" s="628"/>
      <c r="F395" s="628"/>
      <c r="G395" s="648"/>
      <c r="H395" s="648"/>
      <c r="I395" s="648"/>
      <c r="J395" s="605"/>
      <c r="K395" s="1010"/>
      <c r="L395" s="1010"/>
      <c r="M395" s="1010"/>
      <c r="N395" s="1010"/>
      <c r="O395" s="1010"/>
      <c r="P395" s="1010"/>
      <c r="Q395" s="1010"/>
      <c r="R395" s="1010"/>
      <c r="S395" s="1010"/>
    </row>
    <row r="396" spans="1:10" s="584" customFormat="1" ht="15">
      <c r="A396" s="628"/>
      <c r="B396" s="605"/>
      <c r="C396" s="605"/>
      <c r="D396" s="651"/>
      <c r="E396" s="628"/>
      <c r="F396" s="628"/>
      <c r="G396" s="648"/>
      <c r="H396" s="648"/>
      <c r="I396" s="648"/>
      <c r="J396" s="605"/>
    </row>
    <row r="397" spans="1:10" s="584" customFormat="1" ht="15">
      <c r="A397" s="628"/>
      <c r="B397" s="605"/>
      <c r="C397" s="605"/>
      <c r="D397" s="651"/>
      <c r="E397" s="628"/>
      <c r="F397" s="628"/>
      <c r="G397" s="648"/>
      <c r="H397" s="648"/>
      <c r="I397" s="648"/>
      <c r="J397" s="605"/>
    </row>
    <row r="398" spans="1:19" s="584" customFormat="1" ht="15">
      <c r="A398" s="628"/>
      <c r="B398" s="605"/>
      <c r="C398" s="605"/>
      <c r="D398" s="651"/>
      <c r="E398" s="628"/>
      <c r="F398" s="628"/>
      <c r="G398" s="648"/>
      <c r="H398" s="648"/>
      <c r="I398" s="648"/>
      <c r="J398" s="605"/>
      <c r="K398" s="604"/>
      <c r="L398" s="604"/>
      <c r="M398" s="604"/>
      <c r="N398" s="604"/>
      <c r="O398" s="604"/>
      <c r="P398" s="604"/>
      <c r="Q398" s="604"/>
      <c r="R398" s="604"/>
      <c r="S398" s="604"/>
    </row>
    <row r="399" spans="1:10" s="584" customFormat="1" ht="15">
      <c r="A399" s="628"/>
      <c r="B399" s="605"/>
      <c r="C399" s="605"/>
      <c r="D399" s="651"/>
      <c r="E399" s="628"/>
      <c r="F399" s="628"/>
      <c r="G399" s="648"/>
      <c r="H399" s="648"/>
      <c r="I399" s="648"/>
      <c r="J399" s="605"/>
    </row>
    <row r="400" spans="1:10" s="649" customFormat="1" ht="15">
      <c r="A400" s="628"/>
      <c r="B400" s="605"/>
      <c r="C400" s="605"/>
      <c r="D400" s="651"/>
      <c r="E400" s="628"/>
      <c r="F400" s="628"/>
      <c r="G400" s="648"/>
      <c r="H400" s="648"/>
      <c r="I400" s="648"/>
      <c r="J400" s="605"/>
    </row>
    <row r="401" spans="1:10" s="649" customFormat="1" ht="15">
      <c r="A401" s="628"/>
      <c r="B401" s="605"/>
      <c r="C401" s="605"/>
      <c r="D401" s="651"/>
      <c r="E401" s="628"/>
      <c r="F401" s="628"/>
      <c r="G401" s="648"/>
      <c r="H401" s="648"/>
      <c r="I401" s="648"/>
      <c r="J401" s="605"/>
    </row>
    <row r="402" spans="1:10" s="649" customFormat="1" ht="15">
      <c r="A402" s="628"/>
      <c r="B402" s="605"/>
      <c r="C402" s="605"/>
      <c r="D402" s="651"/>
      <c r="E402" s="628"/>
      <c r="F402" s="628"/>
      <c r="G402" s="648"/>
      <c r="H402" s="648"/>
      <c r="I402" s="648"/>
      <c r="J402" s="605"/>
    </row>
    <row r="403" spans="1:10" s="584" customFormat="1" ht="15">
      <c r="A403" s="628"/>
      <c r="B403" s="605"/>
      <c r="C403" s="605"/>
      <c r="D403" s="651"/>
      <c r="E403" s="628"/>
      <c r="F403" s="628"/>
      <c r="G403" s="648"/>
      <c r="H403" s="648"/>
      <c r="I403" s="648"/>
      <c r="J403" s="605"/>
    </row>
    <row r="404" spans="1:10" s="584" customFormat="1" ht="15">
      <c r="A404" s="628"/>
      <c r="B404" s="605"/>
      <c r="C404" s="605"/>
      <c r="D404" s="651"/>
      <c r="E404" s="628"/>
      <c r="F404" s="628"/>
      <c r="G404" s="648"/>
      <c r="H404" s="648"/>
      <c r="I404" s="648"/>
      <c r="J404" s="605"/>
    </row>
    <row r="405" spans="1:10" s="584" customFormat="1" ht="15">
      <c r="A405" s="628"/>
      <c r="B405" s="605"/>
      <c r="C405" s="605"/>
      <c r="D405" s="651"/>
      <c r="E405" s="628"/>
      <c r="F405" s="628"/>
      <c r="G405" s="648"/>
      <c r="H405" s="648"/>
      <c r="I405" s="648"/>
      <c r="J405" s="605"/>
    </row>
    <row r="406" spans="1:10" s="584" customFormat="1" ht="15">
      <c r="A406" s="628"/>
      <c r="B406" s="605"/>
      <c r="C406" s="605"/>
      <c r="D406" s="651"/>
      <c r="E406" s="628"/>
      <c r="F406" s="628"/>
      <c r="G406" s="648"/>
      <c r="H406" s="648"/>
      <c r="I406" s="648"/>
      <c r="J406" s="605"/>
    </row>
    <row r="407" spans="1:10" s="584" customFormat="1" ht="15">
      <c r="A407" s="628"/>
      <c r="B407" s="605"/>
      <c r="C407" s="605"/>
      <c r="D407" s="651"/>
      <c r="E407" s="628"/>
      <c r="F407" s="628"/>
      <c r="G407" s="648"/>
      <c r="H407" s="648"/>
      <c r="I407" s="648"/>
      <c r="J407" s="605"/>
    </row>
    <row r="408" spans="1:10" s="584" customFormat="1" ht="15">
      <c r="A408" s="628"/>
      <c r="B408" s="605"/>
      <c r="C408" s="605"/>
      <c r="D408" s="651"/>
      <c r="E408" s="628"/>
      <c r="F408" s="628"/>
      <c r="G408" s="648"/>
      <c r="H408" s="648"/>
      <c r="I408" s="648"/>
      <c r="J408" s="605"/>
    </row>
    <row r="409" spans="1:10" s="612" customFormat="1" ht="15">
      <c r="A409" s="628"/>
      <c r="B409" s="605"/>
      <c r="C409" s="605"/>
      <c r="D409" s="651"/>
      <c r="E409" s="628"/>
      <c r="F409" s="628"/>
      <c r="G409" s="648"/>
      <c r="H409" s="648"/>
      <c r="I409" s="648"/>
      <c r="J409" s="605"/>
    </row>
    <row r="410" spans="1:10" s="612" customFormat="1" ht="15">
      <c r="A410" s="628"/>
      <c r="B410" s="605"/>
      <c r="C410" s="605"/>
      <c r="D410" s="651"/>
      <c r="E410" s="628"/>
      <c r="F410" s="628"/>
      <c r="G410" s="648"/>
      <c r="H410" s="648"/>
      <c r="I410" s="648"/>
      <c r="J410" s="605"/>
    </row>
    <row r="411" spans="1:10" s="584" customFormat="1" ht="15">
      <c r="A411" s="628"/>
      <c r="B411" s="605"/>
      <c r="C411" s="605"/>
      <c r="D411" s="651"/>
      <c r="E411" s="628"/>
      <c r="F411" s="628"/>
      <c r="G411" s="648"/>
      <c r="H411" s="648"/>
      <c r="I411" s="648"/>
      <c r="J411" s="605"/>
    </row>
    <row r="412" spans="1:10" s="584" customFormat="1" ht="15">
      <c r="A412" s="628"/>
      <c r="B412" s="605"/>
      <c r="C412" s="605"/>
      <c r="D412" s="651"/>
      <c r="E412" s="628"/>
      <c r="F412" s="628"/>
      <c r="G412" s="648"/>
      <c r="H412" s="648"/>
      <c r="I412" s="648"/>
      <c r="J412" s="605"/>
    </row>
    <row r="413" spans="1:10" s="612" customFormat="1" ht="15">
      <c r="A413" s="628"/>
      <c r="B413" s="605"/>
      <c r="C413" s="605"/>
      <c r="D413" s="651"/>
      <c r="E413" s="628"/>
      <c r="F413" s="628"/>
      <c r="G413" s="648"/>
      <c r="H413" s="648"/>
      <c r="I413" s="648"/>
      <c r="J413" s="605"/>
    </row>
  </sheetData>
  <sheetProtection/>
  <mergeCells count="1">
    <mergeCell ref="C191:D192"/>
  </mergeCells>
  <printOptions horizontalCentered="1"/>
  <pageMargins left="0.25" right="0.25" top="0.25" bottom="0.25" header="0.22" footer="0"/>
  <pageSetup fitToHeight="6" horizontalDpi="600" verticalDpi="600" orientation="landscape" scale="43"/>
  <headerFooter alignWithMargins="0">
    <oddFooter>&amp;C&amp;F&amp;RPage &amp;P of &amp;N</oddFooter>
  </headerFooter>
  <rowBreaks count="4" manualBreakCount="4">
    <brk id="55" max="255" man="1"/>
    <brk id="124" max="255" man="1"/>
    <brk id="174" max="255" man="1"/>
    <brk id="233" max="255" man="1"/>
  </rowBreaks>
  <legacyDrawing r:id="rId2"/>
</worksheet>
</file>

<file path=xl/worksheets/sheet10.xml><?xml version="1.0" encoding="utf-8"?>
<worksheet xmlns="http://schemas.openxmlformats.org/spreadsheetml/2006/main" xmlns:r="http://schemas.openxmlformats.org/officeDocument/2006/relationships">
  <dimension ref="A1:I20"/>
  <sheetViews>
    <sheetView zoomScalePageLayoutView="0" workbookViewId="0" topLeftCell="A1">
      <selection activeCell="I9" sqref="I9"/>
    </sheetView>
  </sheetViews>
  <sheetFormatPr defaultColWidth="9.140625" defaultRowHeight="12.75"/>
  <cols>
    <col min="1" max="1" width="25.7109375" style="29" customWidth="1"/>
    <col min="2" max="2" width="12.140625" style="29" customWidth="1"/>
    <col min="3" max="16384" width="9.140625" style="418" customWidth="1"/>
  </cols>
  <sheetData>
    <row r="1" spans="1:3" s="465" customFormat="1" ht="16.5">
      <c r="A1" s="462" t="s">
        <v>268</v>
      </c>
      <c r="B1" s="463" t="s">
        <v>570</v>
      </c>
      <c r="C1" s="464">
        <f>Trim!C2</f>
        <v>513</v>
      </c>
    </row>
    <row r="2" spans="1:4" ht="15">
      <c r="A2" s="6" t="s">
        <v>988</v>
      </c>
      <c r="B2" s="7">
        <f ca="1">NOW()</f>
        <v>40438.33086805556</v>
      </c>
      <c r="C2" s="6" t="s">
        <v>989</v>
      </c>
      <c r="D2" s="9">
        <f ca="1">NOW()</f>
        <v>40438.33086805556</v>
      </c>
    </row>
    <row r="3" spans="1:4" ht="12">
      <c r="A3" s="19" t="s">
        <v>269</v>
      </c>
      <c r="B3" s="882">
        <v>2.713</v>
      </c>
      <c r="C3" s="400" t="s">
        <v>961</v>
      </c>
      <c r="D3" s="400"/>
    </row>
    <row r="4" spans="1:4" ht="12">
      <c r="A4" s="19" t="s">
        <v>270</v>
      </c>
      <c r="B4" s="882">
        <v>11.296</v>
      </c>
      <c r="C4" s="400" t="s">
        <v>961</v>
      </c>
      <c r="D4" s="400"/>
    </row>
    <row r="5" spans="1:4" ht="12">
      <c r="A5" s="19" t="s">
        <v>271</v>
      </c>
      <c r="B5" s="882">
        <v>8.415</v>
      </c>
      <c r="C5" s="400" t="s">
        <v>961</v>
      </c>
      <c r="D5" s="400"/>
    </row>
    <row r="6" spans="1:4" ht="12">
      <c r="A6" s="19" t="s">
        <v>272</v>
      </c>
      <c r="B6" s="882">
        <v>8.027</v>
      </c>
      <c r="C6" s="400" t="s">
        <v>961</v>
      </c>
      <c r="D6" s="400"/>
    </row>
    <row r="7" spans="1:4" ht="12">
      <c r="A7" s="19" t="s">
        <v>273</v>
      </c>
      <c r="B7" s="882">
        <v>0.9</v>
      </c>
      <c r="C7" s="400" t="s">
        <v>961</v>
      </c>
      <c r="D7" s="400"/>
    </row>
    <row r="8" spans="1:9" ht="12">
      <c r="A8" s="19" t="s">
        <v>274</v>
      </c>
      <c r="B8" s="505">
        <v>1.5198161266016872</v>
      </c>
      <c r="C8" s="400" t="s">
        <v>961</v>
      </c>
      <c r="D8" s="504" t="s">
        <v>73</v>
      </c>
      <c r="E8" s="506"/>
      <c r="F8" s="503"/>
      <c r="G8" s="503"/>
      <c r="H8" s="505"/>
      <c r="I8" s="505"/>
    </row>
    <row r="9" spans="1:8" ht="12">
      <c r="A9" s="19" t="s">
        <v>275</v>
      </c>
      <c r="B9" s="882">
        <v>7.1</v>
      </c>
      <c r="C9" s="400" t="s">
        <v>961</v>
      </c>
      <c r="D9" s="505"/>
      <c r="E9" s="503"/>
      <c r="F9" s="503"/>
      <c r="G9" s="503"/>
      <c r="H9" s="503"/>
    </row>
    <row r="10" spans="1:8" ht="12">
      <c r="A10" s="19" t="s">
        <v>276</v>
      </c>
      <c r="B10" s="882">
        <v>1.41</v>
      </c>
      <c r="C10" s="400" t="s">
        <v>961</v>
      </c>
      <c r="D10" s="505"/>
      <c r="E10" s="503"/>
      <c r="F10" s="503"/>
      <c r="G10" s="503"/>
      <c r="H10" s="503"/>
    </row>
    <row r="11" spans="1:8" ht="12.75">
      <c r="A11" s="19" t="s">
        <v>277</v>
      </c>
      <c r="B11" s="882">
        <v>1.23</v>
      </c>
      <c r="C11" s="400" t="s">
        <v>961</v>
      </c>
      <c r="D11" s="505"/>
      <c r="E11" s="503"/>
      <c r="F11" s="503"/>
      <c r="G11" s="503"/>
      <c r="H11" s="503"/>
    </row>
    <row r="12" spans="1:3" ht="12.75">
      <c r="A12" s="19" t="s">
        <v>278</v>
      </c>
      <c r="B12" s="882">
        <v>0.8229</v>
      </c>
      <c r="C12" s="400" t="s">
        <v>961</v>
      </c>
    </row>
    <row r="13" spans="1:4" ht="12.75">
      <c r="A13" s="19" t="s">
        <v>279</v>
      </c>
      <c r="B13" s="882">
        <v>0.672</v>
      </c>
      <c r="C13" s="400" t="s">
        <v>961</v>
      </c>
      <c r="D13" s="400"/>
    </row>
    <row r="14" spans="1:4" ht="12.75">
      <c r="A14" s="1" t="s">
        <v>425</v>
      </c>
      <c r="B14" s="882">
        <v>1.3936</v>
      </c>
      <c r="C14" s="400" t="s">
        <v>961</v>
      </c>
      <c r="D14" s="400"/>
    </row>
    <row r="15" spans="1:4" ht="12.75">
      <c r="A15" s="1" t="s">
        <v>426</v>
      </c>
      <c r="B15" s="882">
        <v>1.151</v>
      </c>
      <c r="C15" s="400" t="s">
        <v>961</v>
      </c>
      <c r="D15" s="400"/>
    </row>
    <row r="16" spans="1:4" ht="12">
      <c r="A16" s="1" t="s">
        <v>427</v>
      </c>
      <c r="B16" s="882">
        <v>1.21</v>
      </c>
      <c r="C16" s="400" t="s">
        <v>961</v>
      </c>
      <c r="D16" s="400"/>
    </row>
    <row r="18" ht="12">
      <c r="A18" s="466" t="s">
        <v>428</v>
      </c>
    </row>
    <row r="20" ht="12">
      <c r="A20" t="s">
        <v>429</v>
      </c>
    </row>
  </sheetData>
  <sheetProtection/>
  <printOptions/>
  <pageMargins left="0.7479166666666667" right="0.7479166666666667" top="0.9840277777777777" bottom="0.9840277777777777" header="0.5118055555555555" footer="0.5"/>
  <pageSetup horizontalDpi="300" verticalDpi="300" orientation="portrait"/>
  <headerFooter alignWithMargins="0">
    <oddFooter>&amp;C&amp;F&amp;R&amp;P of &amp;N</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34">
      <selection activeCell="C54" sqref="C54"/>
    </sheetView>
  </sheetViews>
  <sheetFormatPr defaultColWidth="8.8515625" defaultRowHeight="12.75"/>
  <cols>
    <col min="1" max="1" width="21.7109375" style="477" customWidth="1"/>
    <col min="2" max="2" width="3.00390625" style="477" customWidth="1"/>
    <col min="3" max="3" width="30.421875" style="478" customWidth="1"/>
    <col min="4" max="4" width="2.00390625" style="477" customWidth="1"/>
    <col min="5" max="5" width="53.421875" style="477" customWidth="1"/>
    <col min="6" max="6" width="33.421875" style="0" customWidth="1"/>
    <col min="7" max="7" width="34.140625" style="0" customWidth="1"/>
    <col min="8" max="8" width="10.28125" style="0" customWidth="1"/>
  </cols>
  <sheetData>
    <row r="1" ht="12">
      <c r="A1" s="477" t="s">
        <v>439</v>
      </c>
    </row>
    <row r="2" ht="12">
      <c r="A2" s="477" t="s">
        <v>440</v>
      </c>
    </row>
    <row r="4" ht="12">
      <c r="A4" s="477" t="s">
        <v>441</v>
      </c>
    </row>
    <row r="5" spans="1:4" ht="12">
      <c r="A5" s="477" t="s">
        <v>442</v>
      </c>
      <c r="B5" s="477" t="s">
        <v>443</v>
      </c>
      <c r="C5" s="479">
        <f>Cal!D1</f>
        <v>513</v>
      </c>
      <c r="D5" s="480" t="s">
        <v>444</v>
      </c>
    </row>
    <row r="6" spans="1:4" ht="12">
      <c r="A6" s="477" t="s">
        <v>445</v>
      </c>
      <c r="B6" s="477" t="s">
        <v>443</v>
      </c>
      <c r="C6" s="478" t="s">
        <v>446</v>
      </c>
      <c r="D6" s="480" t="s">
        <v>444</v>
      </c>
    </row>
    <row r="7" spans="1:5" ht="12">
      <c r="A7" s="477" t="s">
        <v>447</v>
      </c>
      <c r="B7" s="477" t="s">
        <v>448</v>
      </c>
      <c r="C7" s="481">
        <f>Trim!C10/1000</f>
        <v>51.4944</v>
      </c>
      <c r="D7" s="477" t="s">
        <v>449</v>
      </c>
      <c r="E7" s="477" t="s">
        <v>450</v>
      </c>
    </row>
    <row r="8" spans="1:5" ht="12">
      <c r="A8" s="477" t="s">
        <v>304</v>
      </c>
      <c r="B8" s="477" t="s">
        <v>448</v>
      </c>
      <c r="C8" s="479">
        <f>Ballast!D38</f>
        <v>50823.269411603185</v>
      </c>
      <c r="D8" s="477" t="s">
        <v>449</v>
      </c>
      <c r="E8" s="477" t="s">
        <v>305</v>
      </c>
    </row>
    <row r="9" spans="1:5" ht="12">
      <c r="A9" s="477" t="s">
        <v>306</v>
      </c>
      <c r="B9" s="477" t="s">
        <v>448</v>
      </c>
      <c r="C9" s="482">
        <f>Ballast!B29</f>
        <v>1.0275</v>
      </c>
      <c r="D9" s="477" t="s">
        <v>449</v>
      </c>
      <c r="E9" s="477" t="s">
        <v>307</v>
      </c>
    </row>
    <row r="11" ht="12">
      <c r="A11" s="477" t="s">
        <v>308</v>
      </c>
    </row>
    <row r="12" spans="1:4" ht="12">
      <c r="A12" s="477" t="s">
        <v>309</v>
      </c>
      <c r="B12" s="477" t="s">
        <v>448</v>
      </c>
      <c r="C12" s="483">
        <v>0.003836</v>
      </c>
      <c r="D12" s="477" t="s">
        <v>449</v>
      </c>
    </row>
    <row r="13" spans="1:4" ht="12">
      <c r="A13" s="477" t="s">
        <v>310</v>
      </c>
      <c r="B13" s="477" t="s">
        <v>448</v>
      </c>
      <c r="C13" s="483">
        <v>0.010078</v>
      </c>
      <c r="D13" s="477" t="s">
        <v>449</v>
      </c>
    </row>
    <row r="14" spans="1:4" ht="12">
      <c r="A14" s="477" t="s">
        <v>311</v>
      </c>
      <c r="B14" s="477" t="s">
        <v>448</v>
      </c>
      <c r="C14" s="483">
        <v>9.85E-06</v>
      </c>
      <c r="D14" s="477" t="s">
        <v>449</v>
      </c>
    </row>
    <row r="15" spans="1:4" ht="12">
      <c r="A15" s="477" t="s">
        <v>312</v>
      </c>
      <c r="B15" s="477" t="s">
        <v>448</v>
      </c>
      <c r="C15" s="483">
        <v>7.05E-05</v>
      </c>
      <c r="D15" s="477" t="s">
        <v>449</v>
      </c>
    </row>
    <row r="16" spans="1:4" ht="12">
      <c r="A16" s="477" t="s">
        <v>313</v>
      </c>
      <c r="B16" s="477" t="s">
        <v>448</v>
      </c>
      <c r="C16" s="483">
        <v>15</v>
      </c>
      <c r="D16" s="477" t="s">
        <v>449</v>
      </c>
    </row>
    <row r="17" spans="1:4" ht="12">
      <c r="A17" s="477" t="s">
        <v>314</v>
      </c>
      <c r="B17" s="477" t="s">
        <v>448</v>
      </c>
      <c r="C17" s="483">
        <v>4.18E-06</v>
      </c>
      <c r="D17" s="477" t="s">
        <v>449</v>
      </c>
    </row>
    <row r="18" spans="1:4" ht="12">
      <c r="A18" s="477" t="s">
        <v>315</v>
      </c>
      <c r="B18" s="477" t="s">
        <v>448</v>
      </c>
      <c r="C18" s="483">
        <v>0</v>
      </c>
      <c r="D18" s="477" t="s">
        <v>449</v>
      </c>
    </row>
    <row r="20" ht="12">
      <c r="A20" s="477" t="s">
        <v>316</v>
      </c>
    </row>
    <row r="21" spans="1:4" ht="12">
      <c r="A21" s="477" t="s">
        <v>317</v>
      </c>
      <c r="B21" s="477" t="s">
        <v>448</v>
      </c>
      <c r="C21" s="479">
        <f>Cal!C12</f>
        <v>62</v>
      </c>
      <c r="D21" s="477" t="s">
        <v>449</v>
      </c>
    </row>
    <row r="22" spans="1:4" ht="12">
      <c r="A22" s="477" t="s">
        <v>318</v>
      </c>
      <c r="B22" s="477" t="s">
        <v>448</v>
      </c>
      <c r="C22" s="479">
        <f>Cal!C13</f>
        <v>3828</v>
      </c>
      <c r="D22" s="477" t="s">
        <v>449</v>
      </c>
    </row>
    <row r="23" spans="1:4" ht="12">
      <c r="A23" s="477" t="s">
        <v>319</v>
      </c>
      <c r="B23" s="477" t="s">
        <v>448</v>
      </c>
      <c r="C23" s="479">
        <f>Cal!C27</f>
        <v>173</v>
      </c>
      <c r="D23" s="477" t="s">
        <v>449</v>
      </c>
    </row>
    <row r="24" spans="1:4" ht="12">
      <c r="A24" s="477" t="s">
        <v>181</v>
      </c>
      <c r="B24" s="477" t="s">
        <v>448</v>
      </c>
      <c r="C24" s="479">
        <f>Cal!C28</f>
        <v>3873</v>
      </c>
      <c r="D24" s="477" t="s">
        <v>449</v>
      </c>
    </row>
    <row r="25" spans="1:4" ht="12">
      <c r="A25" s="477" t="s">
        <v>182</v>
      </c>
      <c r="B25" s="477" t="s">
        <v>448</v>
      </c>
      <c r="C25" s="479">
        <f>Cal!C42</f>
        <v>394</v>
      </c>
      <c r="D25" s="477" t="s">
        <v>449</v>
      </c>
    </row>
    <row r="26" spans="1:4" ht="12">
      <c r="A26" s="477" t="s">
        <v>183</v>
      </c>
      <c r="B26" s="477" t="s">
        <v>448</v>
      </c>
      <c r="C26" s="479">
        <f>Cal!C43</f>
        <v>3960</v>
      </c>
      <c r="D26" s="477" t="s">
        <v>449</v>
      </c>
    </row>
    <row r="27" spans="1:4" ht="12">
      <c r="A27" s="477" t="s">
        <v>184</v>
      </c>
      <c r="B27" s="477" t="s">
        <v>448</v>
      </c>
      <c r="C27" s="482">
        <f>Cal!B48</f>
        <v>-4.076707325027722</v>
      </c>
      <c r="D27" s="477" t="s">
        <v>449</v>
      </c>
    </row>
    <row r="29" ht="12">
      <c r="A29" s="477" t="s">
        <v>29</v>
      </c>
    </row>
    <row r="30" spans="1:4" ht="12">
      <c r="A30" s="477" t="s">
        <v>30</v>
      </c>
      <c r="B30" s="477" t="s">
        <v>448</v>
      </c>
      <c r="C30" s="478">
        <v>1.275</v>
      </c>
      <c r="D30" s="477" t="s">
        <v>449</v>
      </c>
    </row>
    <row r="31" spans="1:4" ht="12">
      <c r="A31" s="477" t="s">
        <v>31</v>
      </c>
      <c r="B31" s="477" t="s">
        <v>448</v>
      </c>
      <c r="C31" s="478">
        <v>-0.00015</v>
      </c>
      <c r="D31" s="477" t="s">
        <v>449</v>
      </c>
    </row>
    <row r="32" spans="1:4" ht="12">
      <c r="A32" s="477" t="s">
        <v>32</v>
      </c>
      <c r="B32" s="477" t="s">
        <v>448</v>
      </c>
      <c r="C32" s="478">
        <v>17.4033</v>
      </c>
      <c r="D32" s="477" t="s">
        <v>449</v>
      </c>
    </row>
    <row r="33" spans="1:4" ht="12">
      <c r="A33" s="477" t="s">
        <v>33</v>
      </c>
      <c r="B33" s="477" t="s">
        <v>448</v>
      </c>
      <c r="C33" s="478">
        <v>0.017824</v>
      </c>
      <c r="D33" s="477" t="s">
        <v>449</v>
      </c>
    </row>
    <row r="35" ht="12">
      <c r="A35" s="477" t="s">
        <v>34</v>
      </c>
    </row>
    <row r="36" spans="1:5" ht="12">
      <c r="A36" s="477" t="s">
        <v>35</v>
      </c>
      <c r="B36" s="477" t="s">
        <v>443</v>
      </c>
      <c r="C36" s="478" t="str">
        <f>"SN: "&amp;Cal!B130&amp;"  CAL: "&amp;MONTH(Cal!B133)&amp;DAY(Cal!B133)&amp;RIGHT(YEAR(Cal!B133),2)</f>
        <v>SN: 0134  CAL: 1000</v>
      </c>
      <c r="D36" s="480" t="s">
        <v>444</v>
      </c>
      <c r="E36" s="477" t="s">
        <v>36</v>
      </c>
    </row>
    <row r="37" spans="1:4" ht="12">
      <c r="A37" s="477" t="s">
        <v>37</v>
      </c>
      <c r="B37" s="477" t="s">
        <v>448</v>
      </c>
      <c r="C37" s="483">
        <f>Cal!D135</f>
        <v>0.00433602546</v>
      </c>
      <c r="D37" s="477" t="s">
        <v>449</v>
      </c>
    </row>
    <row r="38" spans="1:4" ht="12">
      <c r="A38" s="477" t="s">
        <v>38</v>
      </c>
      <c r="B38" s="477" t="s">
        <v>448</v>
      </c>
      <c r="C38" s="483">
        <f>Cal!D136</f>
        <v>0.000622645067</v>
      </c>
      <c r="D38" s="477" t="s">
        <v>449</v>
      </c>
    </row>
    <row r="39" spans="1:4" ht="12">
      <c r="A39" s="477" t="s">
        <v>39</v>
      </c>
      <c r="B39" s="477" t="s">
        <v>448</v>
      </c>
      <c r="C39" s="483">
        <f>Cal!D137</f>
        <v>2.29713989E-05</v>
      </c>
      <c r="D39" s="477" t="s">
        <v>449</v>
      </c>
    </row>
    <row r="40" spans="1:4" ht="12">
      <c r="A40" s="477" t="s">
        <v>40</v>
      </c>
      <c r="B40" s="477" t="s">
        <v>448</v>
      </c>
      <c r="C40" s="483">
        <f>Cal!D138</f>
        <v>2.40827961E-06</v>
      </c>
      <c r="D40" s="477" t="s">
        <v>449</v>
      </c>
    </row>
    <row r="41" spans="1:4" ht="12">
      <c r="A41" s="477" t="s">
        <v>41</v>
      </c>
      <c r="B41" s="477" t="s">
        <v>448</v>
      </c>
      <c r="C41" s="483">
        <f>Cal!B135</f>
        <v>-10.0584876</v>
      </c>
      <c r="D41" s="477" t="s">
        <v>449</v>
      </c>
    </row>
    <row r="42" spans="1:4" ht="12">
      <c r="A42" s="477" t="s">
        <v>42</v>
      </c>
      <c r="B42" s="477" t="s">
        <v>448</v>
      </c>
      <c r="C42" s="483">
        <f>Cal!B136</f>
        <v>1.15509111</v>
      </c>
      <c r="D42" s="477" t="s">
        <v>449</v>
      </c>
    </row>
    <row r="43" spans="1:4" ht="12">
      <c r="A43" s="477" t="s">
        <v>43</v>
      </c>
      <c r="B43" s="477" t="s">
        <v>448</v>
      </c>
      <c r="C43" s="483">
        <f>Cal!B137</f>
        <v>-0.00212444128</v>
      </c>
      <c r="D43" s="477" t="s">
        <v>449</v>
      </c>
    </row>
    <row r="44" spans="1:4" ht="12">
      <c r="A44" s="477" t="s">
        <v>44</v>
      </c>
      <c r="B44" s="477" t="s">
        <v>448</v>
      </c>
      <c r="C44" s="483">
        <f>Cal!B138</f>
        <v>0.000243270706</v>
      </c>
      <c r="D44" s="477" t="s">
        <v>449</v>
      </c>
    </row>
    <row r="45" spans="1:4" ht="12">
      <c r="A45" s="477" t="s">
        <v>45</v>
      </c>
      <c r="B45" s="477" t="s">
        <v>448</v>
      </c>
      <c r="C45" s="484">
        <f>Cal!B139</f>
        <v>-9.57E-08</v>
      </c>
      <c r="D45" s="477" t="s">
        <v>449</v>
      </c>
    </row>
    <row r="46" spans="1:4" ht="12">
      <c r="A46" s="477" t="s">
        <v>46</v>
      </c>
      <c r="B46" s="477" t="s">
        <v>448</v>
      </c>
      <c r="C46" s="484">
        <f>Cal!B140</f>
        <v>3.25E-06</v>
      </c>
      <c r="D46" s="477" t="s">
        <v>449</v>
      </c>
    </row>
    <row r="47" spans="1:5" ht="12">
      <c r="A47" s="477" t="s">
        <v>47</v>
      </c>
      <c r="B47" s="477" t="s">
        <v>448</v>
      </c>
      <c r="C47" s="483">
        <v>2.98319</v>
      </c>
      <c r="D47" s="485" t="s">
        <v>449</v>
      </c>
      <c r="E47" s="477" t="s">
        <v>48</v>
      </c>
    </row>
    <row r="48" spans="1:5" ht="12">
      <c r="A48" s="477" t="s">
        <v>196</v>
      </c>
      <c r="B48" s="477" t="s">
        <v>448</v>
      </c>
      <c r="C48" s="483">
        <v>8</v>
      </c>
      <c r="D48" s="485" t="s">
        <v>449</v>
      </c>
      <c r="E48" s="477" t="s">
        <v>197</v>
      </c>
    </row>
    <row r="49" spans="1:5" ht="12">
      <c r="A49" s="477" t="s">
        <v>198</v>
      </c>
      <c r="B49" s="477" t="s">
        <v>448</v>
      </c>
      <c r="C49" s="483">
        <v>2.924212</v>
      </c>
      <c r="D49" s="485" t="s">
        <v>449</v>
      </c>
      <c r="E49" s="477" t="s">
        <v>199</v>
      </c>
    </row>
    <row r="50" spans="1:5" ht="12">
      <c r="A50" s="477" t="s">
        <v>200</v>
      </c>
      <c r="B50" s="477" t="s">
        <v>448</v>
      </c>
      <c r="C50" s="483">
        <v>5.555283</v>
      </c>
      <c r="D50" s="485" t="s">
        <v>449</v>
      </c>
      <c r="E50" s="477" t="s">
        <v>201</v>
      </c>
    </row>
    <row r="51" ht="12">
      <c r="C51" s="486"/>
    </row>
    <row r="52" ht="12">
      <c r="A52" s="477" t="s">
        <v>202</v>
      </c>
    </row>
    <row r="53" spans="1:5" ht="12">
      <c r="A53" s="935" t="s">
        <v>203</v>
      </c>
      <c r="B53" s="477" t="s">
        <v>443</v>
      </c>
      <c r="C53" s="478" t="str">
        <f>IF(Cal!B157=0,(Cal!B171&amp;"_"&amp;Cal!B172),(Cal!B155&amp;" "&amp;Cal!B156))</f>
        <v>Aa_optode</v>
      </c>
      <c r="D53" s="480" t="s">
        <v>444</v>
      </c>
      <c r="E53" s="935" t="s">
        <v>204</v>
      </c>
    </row>
    <row r="54" spans="1:5" ht="12">
      <c r="A54" s="935" t="s">
        <v>205</v>
      </c>
      <c r="B54" s="477" t="s">
        <v>443</v>
      </c>
      <c r="C54" s="478" t="str">
        <f>IF(Cal!B157=0,("SN: "&amp;Cal!B173&amp;"  CAL: "&amp;IF(Cal!D170=0,0,MONTH(Cal!D170))&amp;DAY(Cal!D170)&amp;RIGHT(YEAR(Cal!D170),2)),("SN: "&amp;Cal!B157&amp;"  CAL: "&amp;IF(Cal!D154=0,0,MONTH(Cal!D154))&amp;DAY(Cal!D154)&amp;RIGHT(YEAR(Cal!D154),2)))</f>
        <v>SN: 0  CAL: 1100</v>
      </c>
      <c r="D54" s="480" t="s">
        <v>444</v>
      </c>
      <c r="E54" s="477" t="s">
        <v>36</v>
      </c>
    </row>
    <row r="55" spans="1:4" ht="12">
      <c r="A55" s="477" t="s">
        <v>206</v>
      </c>
      <c r="B55" s="477" t="s">
        <v>448</v>
      </c>
      <c r="C55" s="487">
        <f>Cal!D156</f>
        <v>0</v>
      </c>
      <c r="D55" s="477" t="s">
        <v>449</v>
      </c>
    </row>
    <row r="56" spans="1:4" ht="12">
      <c r="A56" s="477" t="s">
        <v>207</v>
      </c>
      <c r="B56" s="477" t="s">
        <v>448</v>
      </c>
      <c r="C56" s="488">
        <f>Cal!D160</f>
        <v>0</v>
      </c>
      <c r="D56" s="477" t="s">
        <v>449</v>
      </c>
    </row>
    <row r="57" spans="1:4" ht="12">
      <c r="A57" s="477" t="s">
        <v>208</v>
      </c>
      <c r="B57" s="477" t="s">
        <v>448</v>
      </c>
      <c r="C57" s="487">
        <f>Cal!D161</f>
        <v>0</v>
      </c>
      <c r="D57" s="477" t="s">
        <v>449</v>
      </c>
    </row>
    <row r="58" spans="1:4" ht="12">
      <c r="A58" s="477" t="s">
        <v>209</v>
      </c>
      <c r="B58" s="477" t="s">
        <v>448</v>
      </c>
      <c r="C58" s="487">
        <f>Cal!D162</f>
        <v>0</v>
      </c>
      <c r="D58" s="477" t="s">
        <v>449</v>
      </c>
    </row>
    <row r="59" spans="1:4" ht="12">
      <c r="A59" s="477" t="s">
        <v>210</v>
      </c>
      <c r="B59" s="477" t="s">
        <v>448</v>
      </c>
      <c r="C59" s="487">
        <f>Cal!D163</f>
        <v>0</v>
      </c>
      <c r="D59" s="477" t="s">
        <v>449</v>
      </c>
    </row>
    <row r="60" spans="1:4" ht="12">
      <c r="A60" s="477" t="s">
        <v>211</v>
      </c>
      <c r="B60" s="477" t="s">
        <v>448</v>
      </c>
      <c r="C60" s="488">
        <f>Cal!D164</f>
        <v>0</v>
      </c>
      <c r="D60" s="477" t="s">
        <v>449</v>
      </c>
    </row>
    <row r="61" spans="1:4" ht="12">
      <c r="A61" s="477" t="s">
        <v>212</v>
      </c>
      <c r="B61" s="477" t="s">
        <v>448</v>
      </c>
      <c r="C61" s="489">
        <f>Cal!D165</f>
        <v>0</v>
      </c>
      <c r="D61" s="477" t="s">
        <v>449</v>
      </c>
    </row>
    <row r="62" spans="1:4" ht="12">
      <c r="A62" s="477" t="s">
        <v>213</v>
      </c>
      <c r="B62" s="477" t="s">
        <v>448</v>
      </c>
      <c r="C62" s="490">
        <v>0</v>
      </c>
      <c r="D62" s="477" t="s">
        <v>449</v>
      </c>
    </row>
    <row r="63" ht="12">
      <c r="C63" s="490"/>
    </row>
    <row r="64" spans="1:5" ht="12">
      <c r="A64" s="935" t="s">
        <v>101</v>
      </c>
      <c r="C64" s="490">
        <f>IF(Cal!B173=0,"",(Cal!B171&amp;"_"&amp;Cal!B172))</f>
      </c>
      <c r="D64" s="480" t="s">
        <v>444</v>
      </c>
      <c r="E64" s="935" t="s">
        <v>204</v>
      </c>
    </row>
    <row r="65" spans="1:5" ht="12">
      <c r="A65" s="935" t="s">
        <v>102</v>
      </c>
      <c r="C65" s="478">
        <f>IF(Cal!B173=0,"",("SN: "&amp;Cal!B173&amp;"  CAL: "&amp;MONTH(Cal!D170))&amp;DAY(Cal!D170)&amp;RIGHT(YEAR(Cal!D170),2))</f>
      </c>
      <c r="D65" s="480" t="s">
        <v>444</v>
      </c>
      <c r="E65" s="477" t="s">
        <v>36</v>
      </c>
    </row>
    <row r="66" spans="1:4" ht="12">
      <c r="A66" s="841" t="s">
        <v>149</v>
      </c>
      <c r="B66" s="477" t="s">
        <v>448</v>
      </c>
      <c r="C66" s="478">
        <f>Cal!D172</f>
        <v>0</v>
      </c>
      <c r="D66" s="477" t="s">
        <v>449</v>
      </c>
    </row>
    <row r="67" spans="1:4" ht="12">
      <c r="A67" s="841" t="s">
        <v>287</v>
      </c>
      <c r="B67" s="477" t="s">
        <v>448</v>
      </c>
      <c r="C67" s="478">
        <f>Cal!D173</f>
        <v>0</v>
      </c>
      <c r="D67" s="477" t="s">
        <v>449</v>
      </c>
    </row>
    <row r="68" spans="1:4" ht="12">
      <c r="A68" s="841" t="s">
        <v>288</v>
      </c>
      <c r="B68" s="477" t="s">
        <v>448</v>
      </c>
      <c r="C68" s="478">
        <f>Cal!D174</f>
        <v>0</v>
      </c>
      <c r="D68" s="477" t="s">
        <v>449</v>
      </c>
    </row>
    <row r="69" spans="1:4" ht="12">
      <c r="A69" s="841" t="s">
        <v>289</v>
      </c>
      <c r="B69" s="477" t="s">
        <v>448</v>
      </c>
      <c r="C69" s="478">
        <f>Cal!D175</f>
        <v>0</v>
      </c>
      <c r="D69" s="477" t="s">
        <v>449</v>
      </c>
    </row>
    <row r="70" spans="1:4" ht="12">
      <c r="A70" s="841" t="s">
        <v>290</v>
      </c>
      <c r="B70" s="477" t="s">
        <v>448</v>
      </c>
      <c r="C70" s="478">
        <f>Cal!D176</f>
        <v>0</v>
      </c>
      <c r="D70" s="477" t="s">
        <v>449</v>
      </c>
    </row>
    <row r="71" spans="1:4" ht="12">
      <c r="A71" s="841" t="s">
        <v>291</v>
      </c>
      <c r="B71" s="477" t="s">
        <v>448</v>
      </c>
      <c r="C71" s="478">
        <f>Cal!D177</f>
        <v>0</v>
      </c>
      <c r="D71" s="477" t="s">
        <v>449</v>
      </c>
    </row>
    <row r="72" spans="1:4" ht="12">
      <c r="A72" s="841" t="s">
        <v>292</v>
      </c>
      <c r="B72" s="477" t="s">
        <v>448</v>
      </c>
      <c r="C72" s="478">
        <f>Cal!D178</f>
        <v>0</v>
      </c>
      <c r="D72" s="477" t="s">
        <v>449</v>
      </c>
    </row>
    <row r="73" spans="1:4" ht="12">
      <c r="A73" s="841" t="s">
        <v>293</v>
      </c>
      <c r="B73" s="477" t="s">
        <v>448</v>
      </c>
      <c r="C73" s="478">
        <f>Cal!D179</f>
        <v>0</v>
      </c>
      <c r="D73" s="477" t="s">
        <v>449</v>
      </c>
    </row>
    <row r="74" spans="1:4" ht="12">
      <c r="A74" s="841" t="s">
        <v>294</v>
      </c>
      <c r="B74" s="477" t="s">
        <v>448</v>
      </c>
      <c r="C74" s="478">
        <f>Cal!D180</f>
        <v>0</v>
      </c>
      <c r="D74" s="477" t="s">
        <v>449</v>
      </c>
    </row>
    <row r="75" spans="1:4" ht="12">
      <c r="A75" s="841" t="s">
        <v>295</v>
      </c>
      <c r="B75" s="477" t="s">
        <v>448</v>
      </c>
      <c r="C75" s="478">
        <f>Cal!D181</f>
        <v>0</v>
      </c>
      <c r="D75" s="477" t="s">
        <v>449</v>
      </c>
    </row>
    <row r="76" spans="1:4" ht="12">
      <c r="A76" s="841" t="s">
        <v>296</v>
      </c>
      <c r="B76" s="477" t="s">
        <v>448</v>
      </c>
      <c r="C76" s="478">
        <f>Cal!D182</f>
        <v>0</v>
      </c>
      <c r="D76" s="477" t="s">
        <v>449</v>
      </c>
    </row>
    <row r="77" spans="1:4" ht="12">
      <c r="A77" s="841" t="s">
        <v>297</v>
      </c>
      <c r="B77" s="477" t="s">
        <v>448</v>
      </c>
      <c r="C77" s="478">
        <f>Cal!D183</f>
        <v>0</v>
      </c>
      <c r="D77" s="477" t="s">
        <v>449</v>
      </c>
    </row>
    <row r="78" spans="1:4" ht="12">
      <c r="A78" s="841" t="s">
        <v>298</v>
      </c>
      <c r="B78" s="477" t="s">
        <v>448</v>
      </c>
      <c r="C78" s="478">
        <f>Cal!D184</f>
        <v>0</v>
      </c>
      <c r="D78" s="477" t="s">
        <v>449</v>
      </c>
    </row>
    <row r="79" spans="1:4" ht="12">
      <c r="A79" s="841" t="s">
        <v>299</v>
      </c>
      <c r="B79" s="477" t="s">
        <v>448</v>
      </c>
      <c r="C79" s="478">
        <f>Cal!D185</f>
        <v>0</v>
      </c>
      <c r="D79" s="477" t="s">
        <v>449</v>
      </c>
    </row>
    <row r="80" spans="1:4" ht="12">
      <c r="A80" s="841" t="s">
        <v>300</v>
      </c>
      <c r="B80" s="477" t="s">
        <v>448</v>
      </c>
      <c r="C80" s="478">
        <f>Cal!D186</f>
        <v>0</v>
      </c>
      <c r="D80" s="477" t="s">
        <v>449</v>
      </c>
    </row>
    <row r="81" spans="1:4" ht="12">
      <c r="A81" s="841" t="s">
        <v>91</v>
      </c>
      <c r="B81" s="477" t="s">
        <v>448</v>
      </c>
      <c r="C81" s="478">
        <f>Cal!D187</f>
        <v>0</v>
      </c>
      <c r="D81" s="477" t="s">
        <v>449</v>
      </c>
    </row>
    <row r="82" spans="1:4" ht="12">
      <c r="A82" s="841" t="s">
        <v>92</v>
      </c>
      <c r="B82" s="477" t="s">
        <v>448</v>
      </c>
      <c r="C82" s="478">
        <f>Cal!D188</f>
        <v>0</v>
      </c>
      <c r="D82" s="477" t="s">
        <v>449</v>
      </c>
    </row>
    <row r="83" spans="1:4" ht="12">
      <c r="A83" s="841" t="s">
        <v>93</v>
      </c>
      <c r="B83" s="477" t="s">
        <v>448</v>
      </c>
      <c r="C83" s="478">
        <f>Cal!D189</f>
        <v>0</v>
      </c>
      <c r="D83" s="477" t="s">
        <v>449</v>
      </c>
    </row>
    <row r="84" spans="1:4" ht="12">
      <c r="A84" s="841" t="s">
        <v>94</v>
      </c>
      <c r="B84" s="477" t="s">
        <v>448</v>
      </c>
      <c r="C84" s="478">
        <f>Cal!D190</f>
        <v>0</v>
      </c>
      <c r="D84" s="477" t="s">
        <v>449</v>
      </c>
    </row>
    <row r="85" ht="12">
      <c r="A85" s="841"/>
    </row>
  </sheetData>
  <sheetProtection/>
  <printOptions/>
  <pageMargins left="0.7479166666666667" right="0.7479166666666667" top="0.9840277777777777" bottom="0.9840277777777777" header="0.5118055555555555" footer="0.5"/>
  <pageSetup fitToHeight="1" fitToWidth="1" horizontalDpi="300" verticalDpi="300" orientation="portrait" scale="60"/>
  <headerFooter alignWithMargins="0">
    <oddFooter>&amp;C&amp;F&amp;R&amp;P of &amp;N</oddFooter>
  </headerFooter>
</worksheet>
</file>

<file path=xl/worksheets/sheet12.xml><?xml version="1.0" encoding="utf-8"?>
<worksheet xmlns="http://schemas.openxmlformats.org/spreadsheetml/2006/main" xmlns:r="http://schemas.openxmlformats.org/officeDocument/2006/relationships">
  <dimension ref="A1:B27"/>
  <sheetViews>
    <sheetView zoomScalePageLayoutView="0" workbookViewId="0" topLeftCell="A1">
      <selection activeCell="K9" sqref="K9"/>
    </sheetView>
  </sheetViews>
  <sheetFormatPr defaultColWidth="8.8515625" defaultRowHeight="12.75"/>
  <cols>
    <col min="1" max="1" width="25.421875" style="477" customWidth="1"/>
    <col min="2" max="2" width="18.421875" style="0" customWidth="1"/>
  </cols>
  <sheetData>
    <row r="1" spans="1:2" ht="12">
      <c r="A1" s="477" t="s">
        <v>214</v>
      </c>
      <c r="B1" s="491">
        <f>Cal!D135</f>
        <v>0.00433602546</v>
      </c>
    </row>
    <row r="2" spans="1:2" ht="12">
      <c r="A2" s="477" t="s">
        <v>215</v>
      </c>
      <c r="B2" s="491">
        <f>Cal!D136</f>
        <v>0.000622645067</v>
      </c>
    </row>
    <row r="3" spans="1:2" ht="12">
      <c r="A3" s="477" t="s">
        <v>352</v>
      </c>
      <c r="B3" s="491">
        <f>Cal!D137</f>
        <v>2.29713989E-05</v>
      </c>
    </row>
    <row r="4" spans="1:2" ht="12">
      <c r="A4" s="477" t="s">
        <v>353</v>
      </c>
      <c r="B4" s="491">
        <f>Cal!D138</f>
        <v>2.40827961E-06</v>
      </c>
    </row>
    <row r="5" spans="1:2" ht="12">
      <c r="A5" s="477" t="s">
        <v>354</v>
      </c>
      <c r="B5" s="491">
        <f>Cal!B135</f>
        <v>-10.0584876</v>
      </c>
    </row>
    <row r="6" spans="1:2" ht="12">
      <c r="A6" s="477" t="s">
        <v>355</v>
      </c>
      <c r="B6" s="491">
        <f>Cal!B136</f>
        <v>1.15509111</v>
      </c>
    </row>
    <row r="7" spans="1:2" ht="12">
      <c r="A7" s="477" t="s">
        <v>356</v>
      </c>
      <c r="B7" s="491">
        <f>Cal!B137</f>
        <v>-0.00212444128</v>
      </c>
    </row>
    <row r="8" spans="1:2" ht="12">
      <c r="A8" s="477" t="s">
        <v>357</v>
      </c>
      <c r="B8" s="491">
        <f>Cal!B138</f>
        <v>0.000243270706</v>
      </c>
    </row>
    <row r="9" spans="1:2" ht="12">
      <c r="A9" s="477" t="s">
        <v>358</v>
      </c>
      <c r="B9" s="491">
        <f>Cal!B62</f>
        <v>0.00011645097333882043</v>
      </c>
    </row>
    <row r="10" spans="1:2" ht="12">
      <c r="A10" s="477" t="s">
        <v>359</v>
      </c>
      <c r="B10" s="37">
        <f>Cal!C42</f>
        <v>394</v>
      </c>
    </row>
    <row r="11" spans="1:2" ht="12">
      <c r="A11" s="477" t="s">
        <v>360</v>
      </c>
      <c r="B11" s="37">
        <f>Cal!C43</f>
        <v>3960</v>
      </c>
    </row>
    <row r="12" spans="1:2" ht="12">
      <c r="A12" s="477" t="s">
        <v>361</v>
      </c>
      <c r="B12" s="37">
        <f>Cal!C45</f>
        <v>3246.5441907513264</v>
      </c>
    </row>
    <row r="13" spans="1:2" ht="12">
      <c r="A13" s="477" t="s">
        <v>362</v>
      </c>
      <c r="B13" s="491">
        <f>Cal!B47</f>
        <v>-0.245296</v>
      </c>
    </row>
    <row r="14" spans="1:2" ht="12">
      <c r="A14" s="477" t="s">
        <v>363</v>
      </c>
      <c r="B14" s="37">
        <f>Cal!C12</f>
        <v>62</v>
      </c>
    </row>
    <row r="15" spans="1:2" ht="12">
      <c r="A15" s="477" t="s">
        <v>364</v>
      </c>
      <c r="B15" s="37">
        <f>Cal!C13</f>
        <v>3828</v>
      </c>
    </row>
    <row r="16" spans="1:2" ht="12">
      <c r="A16" s="477" t="s">
        <v>365</v>
      </c>
      <c r="B16" s="37">
        <f>Cal!C15</f>
        <v>2704.105791847632</v>
      </c>
    </row>
    <row r="17" spans="1:2" ht="12">
      <c r="A17" s="477" t="s">
        <v>366</v>
      </c>
      <c r="B17">
        <f>Cal!B17</f>
        <v>0.0031257631257631258</v>
      </c>
    </row>
    <row r="18" spans="1:2" ht="12">
      <c r="A18" s="477" t="s">
        <v>367</v>
      </c>
      <c r="B18">
        <v>25</v>
      </c>
    </row>
    <row r="19" spans="1:2" ht="12">
      <c r="A19" s="477" t="s">
        <v>501</v>
      </c>
      <c r="B19" s="37">
        <f>Cal!C27</f>
        <v>173</v>
      </c>
    </row>
    <row r="20" spans="1:2" ht="12">
      <c r="A20" s="477" t="s">
        <v>502</v>
      </c>
      <c r="B20" s="37">
        <f>Cal!C28</f>
        <v>3873</v>
      </c>
    </row>
    <row r="21" spans="1:2" ht="12">
      <c r="A21" s="477" t="s">
        <v>503</v>
      </c>
      <c r="B21" s="492">
        <f>Cal!C29</f>
        <v>2270</v>
      </c>
    </row>
    <row r="22" spans="1:2" ht="12">
      <c r="A22" s="477" t="s">
        <v>504</v>
      </c>
      <c r="B22" s="492">
        <f>Cal!C30</f>
        <v>2146</v>
      </c>
    </row>
    <row r="23" spans="1:2" ht="12">
      <c r="A23" s="477" t="s">
        <v>505</v>
      </c>
      <c r="B23">
        <f>Cal!B32</f>
        <v>0.02827</v>
      </c>
    </row>
    <row r="24" spans="1:2" ht="12">
      <c r="A24" s="477" t="s">
        <v>506</v>
      </c>
      <c r="B24">
        <f>Trim!C18</f>
        <v>1.0275</v>
      </c>
    </row>
    <row r="25" spans="1:2" ht="12">
      <c r="A25" s="477" t="s">
        <v>507</v>
      </c>
      <c r="B25" s="37">
        <f>Trim!C10</f>
        <v>51494.4</v>
      </c>
    </row>
    <row r="26" spans="1:2" ht="12">
      <c r="A26" s="477" t="s">
        <v>508</v>
      </c>
      <c r="B26">
        <v>150</v>
      </c>
    </row>
    <row r="27" spans="1:2" ht="12">
      <c r="A27" s="477" t="s">
        <v>509</v>
      </c>
      <c r="B27">
        <v>100</v>
      </c>
    </row>
  </sheetData>
  <sheetProtection/>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N190"/>
  <sheetViews>
    <sheetView zoomScalePageLayoutView="0" workbookViewId="0" topLeftCell="A21">
      <selection activeCell="D126" sqref="D126"/>
    </sheetView>
  </sheetViews>
  <sheetFormatPr defaultColWidth="8.8515625" defaultRowHeight="12.75"/>
  <cols>
    <col min="1" max="1" width="28.28125" style="0" customWidth="1"/>
    <col min="2" max="2" width="21.8515625" style="1" customWidth="1"/>
    <col min="3" max="3" width="20.00390625" style="0" customWidth="1"/>
    <col min="4" max="4" width="18.7109375" style="1" customWidth="1"/>
    <col min="5" max="5" width="11.8515625" style="0" customWidth="1"/>
    <col min="6" max="10" width="8.8515625" style="0" customWidth="1"/>
    <col min="11" max="11" width="9.28125" style="0" bestFit="1" customWidth="1"/>
    <col min="12" max="12" width="14.7109375" style="0" bestFit="1" customWidth="1"/>
  </cols>
  <sheetData>
    <row r="1" spans="1:4" ht="16.5">
      <c r="A1" s="2" t="s">
        <v>10</v>
      </c>
      <c r="B1" s="3"/>
      <c r="C1" s="4" t="s">
        <v>987</v>
      </c>
      <c r="D1" s="5">
        <v>513</v>
      </c>
    </row>
    <row r="2" spans="1:6" s="8" customFormat="1" ht="15">
      <c r="A2" s="6" t="s">
        <v>988</v>
      </c>
      <c r="B2" s="7">
        <f ca="1">NOW()</f>
        <v>40438.33086805556</v>
      </c>
      <c r="D2" s="852" t="s">
        <v>221</v>
      </c>
      <c r="F2" s="455"/>
    </row>
    <row r="3" spans="1:4" s="8" customFormat="1" ht="15">
      <c r="A3" s="6" t="s">
        <v>989</v>
      </c>
      <c r="B3" s="9">
        <f ca="1">NOW()</f>
        <v>40438.33086805556</v>
      </c>
      <c r="D3" s="10"/>
    </row>
    <row r="4" spans="1:2" ht="12">
      <c r="A4" s="11" t="s">
        <v>990</v>
      </c>
      <c r="B4" s="12" t="s">
        <v>991</v>
      </c>
    </row>
    <row r="5" spans="1:2" ht="15">
      <c r="A5" s="6"/>
      <c r="B5" s="13"/>
    </row>
    <row r="6" spans="1:5" ht="16.5">
      <c r="A6" s="14" t="s">
        <v>992</v>
      </c>
      <c r="B6" s="15"/>
      <c r="C6" s="16" t="s">
        <v>993</v>
      </c>
      <c r="D6" s="17">
        <v>40155</v>
      </c>
      <c r="E6" s="18"/>
    </row>
    <row r="7" ht="12">
      <c r="C7" s="11" t="s">
        <v>838</v>
      </c>
    </row>
    <row r="8" ht="12">
      <c r="C8" s="11"/>
    </row>
    <row r="9" spans="2:4" ht="12">
      <c r="B9" s="11" t="s">
        <v>839</v>
      </c>
      <c r="C9" s="19">
        <v>50</v>
      </c>
      <c r="D9" t="s">
        <v>840</v>
      </c>
    </row>
    <row r="10" spans="2:4" ht="12">
      <c r="B10" s="11" t="s">
        <v>841</v>
      </c>
      <c r="C10" s="20">
        <v>50</v>
      </c>
      <c r="D10" t="s">
        <v>840</v>
      </c>
    </row>
    <row r="11" spans="1:4" ht="12">
      <c r="A11" s="21"/>
      <c r="B11" s="21" t="s">
        <v>842</v>
      </c>
      <c r="C11" s="21" t="s">
        <v>843</v>
      </c>
      <c r="D11" s="21" t="s">
        <v>844</v>
      </c>
    </row>
    <row r="12" spans="1:4" ht="12">
      <c r="A12" s="22" t="s">
        <v>845</v>
      </c>
      <c r="B12" s="865">
        <f>'Weight sheet'!G247</f>
        <v>12</v>
      </c>
      <c r="C12" s="23">
        <f>B12+C$9</f>
        <v>62</v>
      </c>
      <c r="D12" s="24">
        <f>(C12-C15)*B17</f>
        <v>-8.258596858522512</v>
      </c>
    </row>
    <row r="13" spans="1:4" ht="12">
      <c r="A13" s="22" t="s">
        <v>846</v>
      </c>
      <c r="B13" s="865">
        <f>'Weight sheet'!E247</f>
        <v>3878</v>
      </c>
      <c r="C13" s="23">
        <f>B13-C$10</f>
        <v>3828</v>
      </c>
      <c r="D13" s="24">
        <f>(C13-C15)*B17</f>
        <v>3.5130270731014184</v>
      </c>
    </row>
    <row r="14" spans="1:4" ht="12">
      <c r="A14" s="22" t="s">
        <v>847</v>
      </c>
      <c r="B14" s="25"/>
      <c r="C14" s="25"/>
      <c r="D14" s="24">
        <f>D13-D12</f>
        <v>11.771623931623932</v>
      </c>
    </row>
    <row r="15" spans="1:4" ht="12">
      <c r="A15" s="22" t="s">
        <v>848</v>
      </c>
      <c r="B15" s="26" t="s">
        <v>849</v>
      </c>
      <c r="C15" s="27">
        <f>Trim!E27</f>
        <v>2704.105791847632</v>
      </c>
      <c r="D15" s="28">
        <f>(C15-C15)*B18</f>
        <v>0</v>
      </c>
    </row>
    <row r="16" spans="1:4" ht="12">
      <c r="A16" s="11"/>
      <c r="C16" s="11" t="s">
        <v>850</v>
      </c>
      <c r="D16" s="1">
        <v>12.8</v>
      </c>
    </row>
    <row r="17" spans="1:4" ht="12">
      <c r="A17" s="22" t="s">
        <v>851</v>
      </c>
      <c r="B17" s="29">
        <f>12.8/4095</f>
        <v>0.0031257631257631258</v>
      </c>
      <c r="C17" t="s">
        <v>852</v>
      </c>
      <c r="D17" s="13" t="s">
        <v>853</v>
      </c>
    </row>
    <row r="18" spans="1:4" ht="12">
      <c r="A18" s="11" t="s">
        <v>854</v>
      </c>
      <c r="B18" s="30">
        <f>1/B17</f>
        <v>319.921875</v>
      </c>
      <c r="C18" t="s">
        <v>855</v>
      </c>
      <c r="D18" s="13"/>
    </row>
    <row r="19" spans="1:4" ht="12">
      <c r="A19" s="11" t="s">
        <v>856</v>
      </c>
      <c r="B19" s="13" t="s">
        <v>857</v>
      </c>
      <c r="D19" s="13"/>
    </row>
    <row r="20" spans="1:4" ht="12">
      <c r="A20" s="11"/>
      <c r="B20" s="13" t="s">
        <v>964</v>
      </c>
      <c r="D20" s="13"/>
    </row>
    <row r="21" spans="1:2" ht="12">
      <c r="A21" s="11"/>
      <c r="B21" s="31"/>
    </row>
    <row r="22" spans="1:4" ht="16.5">
      <c r="A22" s="14" t="s">
        <v>965</v>
      </c>
      <c r="B22" s="15"/>
      <c r="C22" s="16" t="s">
        <v>993</v>
      </c>
      <c r="D22" s="17">
        <v>40155</v>
      </c>
    </row>
    <row r="23" spans="3:5" ht="12">
      <c r="C23" s="11" t="s">
        <v>838</v>
      </c>
      <c r="E23" s="18"/>
    </row>
    <row r="25" spans="2:4" ht="12">
      <c r="B25" s="11" t="s">
        <v>966</v>
      </c>
      <c r="C25" s="32">
        <v>150</v>
      </c>
      <c r="D25" t="s">
        <v>840</v>
      </c>
    </row>
    <row r="26" spans="1:4" ht="12">
      <c r="A26" s="21"/>
      <c r="B26" s="21" t="s">
        <v>842</v>
      </c>
      <c r="C26" s="21" t="s">
        <v>843</v>
      </c>
      <c r="D26" s="21" t="s">
        <v>967</v>
      </c>
    </row>
    <row r="27" spans="1:4" ht="12">
      <c r="A27" s="22" t="s">
        <v>968</v>
      </c>
      <c r="B27" s="864">
        <f>'Weight sheet'!G249</f>
        <v>23</v>
      </c>
      <c r="C27" s="23">
        <f>B27+C$25</f>
        <v>173</v>
      </c>
      <c r="D27" s="24">
        <f>(C27-C29)*B32</f>
        <v>-59.28219</v>
      </c>
    </row>
    <row r="28" spans="1:8" ht="12">
      <c r="A28" s="22" t="s">
        <v>969</v>
      </c>
      <c r="B28" s="864">
        <f>'Weight sheet'!E249</f>
        <v>4023</v>
      </c>
      <c r="C28" s="23">
        <f>B28-C$25</f>
        <v>3873</v>
      </c>
      <c r="D28" s="24">
        <f>(C28-C29)*B32</f>
        <v>45.31681</v>
      </c>
      <c r="H28" s="920"/>
    </row>
    <row r="29" spans="1:4" ht="12">
      <c r="A29" s="22" t="s">
        <v>970</v>
      </c>
      <c r="B29" s="21"/>
      <c r="C29" s="502">
        <v>2270</v>
      </c>
      <c r="D29" s="18" t="s">
        <v>971</v>
      </c>
    </row>
    <row r="30" spans="1:4" ht="12">
      <c r="A30" s="22" t="s">
        <v>972</v>
      </c>
      <c r="B30" s="33">
        <f>C27+(C28-C27)/2</f>
        <v>2023</v>
      </c>
      <c r="C30" s="502">
        <v>2146</v>
      </c>
      <c r="D30" s="18" t="s">
        <v>973</v>
      </c>
    </row>
    <row r="31" ht="12">
      <c r="A31" s="11"/>
    </row>
    <row r="32" spans="1:4" ht="12">
      <c r="A32" s="22" t="s">
        <v>851</v>
      </c>
      <c r="B32" s="29">
        <v>0.02827</v>
      </c>
      <c r="C32" t="s">
        <v>974</v>
      </c>
      <c r="D32" s="13" t="s">
        <v>975</v>
      </c>
    </row>
    <row r="33" spans="1:4" ht="12">
      <c r="A33" s="11" t="s">
        <v>854</v>
      </c>
      <c r="B33" s="29">
        <v>35.37</v>
      </c>
      <c r="C33" t="s">
        <v>976</v>
      </c>
      <c r="D33" s="13"/>
    </row>
    <row r="34" spans="1:4" ht="12">
      <c r="A34" s="11" t="s">
        <v>977</v>
      </c>
      <c r="B34" s="13" t="s">
        <v>978</v>
      </c>
      <c r="D34" s="13"/>
    </row>
    <row r="36" spans="1:4" ht="16.5">
      <c r="A36" s="14" t="s">
        <v>979</v>
      </c>
      <c r="B36" s="15"/>
      <c r="C36" s="16" t="s">
        <v>993</v>
      </c>
      <c r="D36" s="17">
        <v>40155</v>
      </c>
    </row>
    <row r="37" spans="3:14" ht="12">
      <c r="C37" s="11" t="s">
        <v>838</v>
      </c>
      <c r="E37" s="18"/>
      <c r="I37" s="18"/>
      <c r="J37" s="18"/>
      <c r="K37" s="18"/>
      <c r="L37" s="18"/>
      <c r="M37" s="18"/>
      <c r="N37" s="18"/>
    </row>
    <row r="38" spans="1:14" ht="12">
      <c r="A38" s="11" t="s">
        <v>980</v>
      </c>
      <c r="B38" s="862" t="str">
        <f>'Weight sheet'!H145</f>
        <v>61</v>
      </c>
      <c r="C38" t="s">
        <v>981</v>
      </c>
      <c r="I38" s="847"/>
      <c r="J38" s="847"/>
      <c r="K38" s="847"/>
      <c r="L38" s="847"/>
      <c r="M38" s="847"/>
      <c r="N38" s="18"/>
    </row>
    <row r="39" spans="1:14" ht="12">
      <c r="A39" s="11" t="s">
        <v>823</v>
      </c>
      <c r="B39" s="860" t="str">
        <f>'Weight sheet'!H185</f>
        <v>1523727</v>
      </c>
      <c r="D39" s="13"/>
      <c r="I39" s="848"/>
      <c r="J39" s="848"/>
      <c r="K39" s="848"/>
      <c r="L39" s="848"/>
      <c r="M39" s="18"/>
      <c r="N39" s="18"/>
    </row>
    <row r="40" spans="2:14" ht="12">
      <c r="B40" s="11" t="s">
        <v>966</v>
      </c>
      <c r="C40" s="32">
        <v>100</v>
      </c>
      <c r="D40" t="s">
        <v>840</v>
      </c>
      <c r="I40" s="848"/>
      <c r="J40" s="848"/>
      <c r="K40" s="848"/>
      <c r="L40" s="848"/>
      <c r="M40" s="18"/>
      <c r="N40" s="18"/>
    </row>
    <row r="41" spans="1:14" ht="12">
      <c r="A41" s="21"/>
      <c r="B41" s="21" t="s">
        <v>842</v>
      </c>
      <c r="C41" s="21" t="s">
        <v>843</v>
      </c>
      <c r="D41" s="21" t="s">
        <v>824</v>
      </c>
      <c r="E41" s="461"/>
      <c r="I41" s="848"/>
      <c r="J41" s="848"/>
      <c r="K41" s="848"/>
      <c r="L41" s="848"/>
      <c r="M41" s="18"/>
      <c r="N41" s="18"/>
    </row>
    <row r="42" spans="1:14" ht="12">
      <c r="A42" s="22" t="s">
        <v>825</v>
      </c>
      <c r="B42" s="863">
        <f>'Weight sheet'!G123</f>
        <v>294</v>
      </c>
      <c r="C42" s="36">
        <f>B42+C$40</f>
        <v>394</v>
      </c>
      <c r="D42" s="23">
        <f>(C42-C45)*B47</f>
        <v>699.7176798145373</v>
      </c>
      <c r="I42" s="848"/>
      <c r="J42" s="848"/>
      <c r="K42" s="848"/>
      <c r="L42" s="848"/>
      <c r="M42" s="18"/>
      <c r="N42" s="18"/>
    </row>
    <row r="43" spans="1:14" ht="12">
      <c r="A43" s="22" t="s">
        <v>826</v>
      </c>
      <c r="B43" s="863">
        <f>'Weight sheet'!E123</f>
        <v>4060</v>
      </c>
      <c r="C43" s="36">
        <f>B43-C40</f>
        <v>3960</v>
      </c>
      <c r="D43" s="23">
        <f>(C43-C45)*B47</f>
        <v>-175.00785618546263</v>
      </c>
      <c r="E43" s="37"/>
      <c r="I43" s="848"/>
      <c r="J43" s="848"/>
      <c r="K43" s="848"/>
      <c r="L43" s="848"/>
      <c r="M43" s="18"/>
      <c r="N43" s="18"/>
    </row>
    <row r="44" spans="1:14" ht="12">
      <c r="A44" s="22" t="s">
        <v>827</v>
      </c>
      <c r="B44" s="25">
        <f>B43-B42</f>
        <v>3766</v>
      </c>
      <c r="C44" s="25">
        <f>C43-C42</f>
        <v>3566</v>
      </c>
      <c r="D44" s="23">
        <f>D42-D43</f>
        <v>874.7255359999999</v>
      </c>
      <c r="E44" s="37"/>
      <c r="I44" s="849"/>
      <c r="J44" s="849"/>
      <c r="K44" s="849"/>
      <c r="L44" s="849"/>
      <c r="M44" s="18"/>
      <c r="N44" s="18"/>
    </row>
    <row r="45" spans="1:14" ht="12">
      <c r="A45" s="22" t="s">
        <v>828</v>
      </c>
      <c r="B45" s="21" t="s">
        <v>829</v>
      </c>
      <c r="C45" s="39">
        <f>Trim!E20</f>
        <v>3246.5441907513264</v>
      </c>
      <c r="D45" s="21" t="s">
        <v>830</v>
      </c>
      <c r="E45" s="37"/>
      <c r="I45" s="849"/>
      <c r="J45" s="849"/>
      <c r="K45" s="849"/>
      <c r="L45" s="849"/>
      <c r="M45" s="18"/>
      <c r="N45" s="18"/>
    </row>
    <row r="46" ht="12">
      <c r="B46" s="40"/>
    </row>
    <row r="47" spans="1:4" ht="12">
      <c r="A47" s="22" t="s">
        <v>851</v>
      </c>
      <c r="B47" s="41">
        <v>-0.245296</v>
      </c>
      <c r="C47" t="s">
        <v>831</v>
      </c>
      <c r="D47" s="13" t="s">
        <v>832</v>
      </c>
    </row>
    <row r="48" spans="1:4" ht="12">
      <c r="A48" s="11" t="s">
        <v>854</v>
      </c>
      <c r="B48" s="42">
        <f>1/B47</f>
        <v>-4.076707325027722</v>
      </c>
      <c r="C48" t="s">
        <v>937</v>
      </c>
      <c r="D48" s="13"/>
    </row>
    <row r="49" spans="1:4" ht="12">
      <c r="A49" s="11" t="s">
        <v>938</v>
      </c>
      <c r="B49" s="13" t="s">
        <v>939</v>
      </c>
      <c r="D49" s="13"/>
    </row>
    <row r="50" spans="1:4" ht="12">
      <c r="A50" s="11"/>
      <c r="B50" s="11" t="s">
        <v>940</v>
      </c>
      <c r="D50" s="13"/>
    </row>
    <row r="52" spans="1:4" ht="16.5">
      <c r="A52" s="14" t="s">
        <v>941</v>
      </c>
      <c r="B52" s="15"/>
      <c r="C52" s="16" t="s">
        <v>993</v>
      </c>
      <c r="D52" s="899">
        <f>'Pres cal'!D1</f>
        <v>40155</v>
      </c>
    </row>
    <row r="53" spans="1:5" ht="12">
      <c r="A53" s="43" t="s">
        <v>942</v>
      </c>
      <c r="C53" s="11" t="s">
        <v>838</v>
      </c>
      <c r="E53" s="18"/>
    </row>
    <row r="54" ht="12">
      <c r="B54" s="1" t="s">
        <v>943</v>
      </c>
    </row>
    <row r="55" spans="1:4" ht="12">
      <c r="A55" s="11" t="s">
        <v>944</v>
      </c>
      <c r="B55" s="44" t="str">
        <f>'Pres cal'!B3</f>
        <v>Paine</v>
      </c>
      <c r="C55" s="18"/>
      <c r="D55" s="26"/>
    </row>
    <row r="56" spans="1:3" ht="12">
      <c r="A56" s="11" t="s">
        <v>945</v>
      </c>
      <c r="B56" s="900" t="str">
        <f>'Pres cal'!B4</f>
        <v>211-75-710-05</v>
      </c>
      <c r="C56" s="18"/>
    </row>
    <row r="57" spans="1:4" ht="12">
      <c r="A57" s="45" t="s">
        <v>946</v>
      </c>
      <c r="B57" s="864" t="str">
        <f>'Pres cal'!B5</f>
        <v>253664</v>
      </c>
      <c r="C57" s="18"/>
      <c r="D57" s="11"/>
    </row>
    <row r="58" spans="1:3" ht="12">
      <c r="A58" s="45" t="s">
        <v>947</v>
      </c>
      <c r="B58" s="901">
        <f>'Pres cal'!B6</f>
        <v>40049</v>
      </c>
      <c r="C58" s="18"/>
    </row>
    <row r="59" spans="1:4" ht="12">
      <c r="A59" s="11" t="s">
        <v>948</v>
      </c>
      <c r="B59" s="902">
        <f>'Pres cal'!B7</f>
        <v>128</v>
      </c>
      <c r="C59" s="47"/>
      <c r="D59" s="48" t="s">
        <v>949</v>
      </c>
    </row>
    <row r="60" spans="1:2" ht="12">
      <c r="A60" s="22" t="s">
        <v>950</v>
      </c>
      <c r="B60" s="903">
        <f>'Pres cal'!B8</f>
        <v>14.7</v>
      </c>
    </row>
    <row r="61" spans="1:3" ht="12">
      <c r="A61" s="11" t="s">
        <v>903</v>
      </c>
      <c r="B61" s="903">
        <f>'Pres cal'!B9</f>
        <v>0</v>
      </c>
      <c r="C61" s="49" t="s">
        <v>904</v>
      </c>
    </row>
    <row r="62" spans="1:3" ht="12">
      <c r="A62" s="11" t="s">
        <v>905</v>
      </c>
      <c r="B62" s="904">
        <f>'Pres cal'!B64</f>
        <v>0.00011645097333882043</v>
      </c>
      <c r="C62" s="50" t="s">
        <v>906</v>
      </c>
    </row>
    <row r="63" spans="1:4" ht="12">
      <c r="A63" s="22" t="s">
        <v>907</v>
      </c>
      <c r="B63" s="903">
        <f>'Pres cal'!B65</f>
        <v>-54.964622684253825</v>
      </c>
      <c r="C63" s="51" t="s">
        <v>908</v>
      </c>
      <c r="D63"/>
    </row>
    <row r="64" spans="1:4" ht="12">
      <c r="A64" s="22" t="s">
        <v>909</v>
      </c>
      <c r="B64" s="903">
        <f>'Pres cal'!B66</f>
        <v>-37.650766538713874</v>
      </c>
      <c r="C64" s="49" t="s">
        <v>910</v>
      </c>
      <c r="D64"/>
    </row>
    <row r="65" spans="2:4" ht="12">
      <c r="B65" s="52" t="s">
        <v>911</v>
      </c>
      <c r="C65" s="53" t="s">
        <v>912</v>
      </c>
      <c r="D65"/>
    </row>
    <row r="66" spans="1:4" ht="16.5">
      <c r="A66" s="14" t="s">
        <v>913</v>
      </c>
      <c r="B66" s="54"/>
      <c r="C66" s="16" t="s">
        <v>993</v>
      </c>
      <c r="D66" s="17">
        <v>40155</v>
      </c>
    </row>
    <row r="67" spans="1:4" ht="12">
      <c r="A67" s="55" t="s">
        <v>914</v>
      </c>
      <c r="B67" s="891">
        <f>'Weight sheet'!F108</f>
        <v>14.97</v>
      </c>
      <c r="C67" s="11" t="s">
        <v>763</v>
      </c>
      <c r="D67" s="892">
        <f>'Weight sheet'!F109</f>
        <v>9.93</v>
      </c>
    </row>
    <row r="68" spans="1:4" ht="12">
      <c r="A68" s="55" t="s">
        <v>764</v>
      </c>
      <c r="B68" s="921">
        <f>'Weight sheet'!D108</f>
        <v>60.9</v>
      </c>
      <c r="C68" s="55" t="s">
        <v>765</v>
      </c>
      <c r="D68" s="921">
        <f>'Weight sheet'!D109</f>
        <v>52.9</v>
      </c>
    </row>
    <row r="69" ht="12">
      <c r="D69" s="57"/>
    </row>
    <row r="70" spans="1:4" ht="16.5">
      <c r="A70" s="14" t="s">
        <v>867</v>
      </c>
      <c r="B70" s="15"/>
      <c r="C70" s="16" t="s">
        <v>993</v>
      </c>
      <c r="D70" s="17">
        <v>40155</v>
      </c>
    </row>
    <row r="71" spans="2:5" ht="12">
      <c r="B71" s="13"/>
      <c r="C71" s="11" t="s">
        <v>838</v>
      </c>
      <c r="E71" s="18"/>
    </row>
    <row r="72" spans="1:2" ht="12">
      <c r="A72" s="11" t="s">
        <v>868</v>
      </c>
      <c r="B72" s="35" t="s">
        <v>869</v>
      </c>
    </row>
    <row r="73" spans="1:2" ht="12">
      <c r="A73" s="11" t="s">
        <v>870</v>
      </c>
      <c r="B73" s="35" t="s">
        <v>160</v>
      </c>
    </row>
    <row r="74" spans="1:2" ht="12">
      <c r="A74" s="11" t="s">
        <v>871</v>
      </c>
      <c r="B74" s="862" t="str">
        <f>'Weight sheet'!H309</f>
        <v>K889</v>
      </c>
    </row>
    <row r="75" spans="1:2" ht="12">
      <c r="A75" s="11" t="s">
        <v>872</v>
      </c>
      <c r="B75" s="35">
        <v>7.4</v>
      </c>
    </row>
    <row r="76" spans="1:2" ht="12">
      <c r="A76" s="11" t="s">
        <v>915</v>
      </c>
      <c r="B76" s="862">
        <f>'Weight sheet'!H308</f>
        <v>91880015</v>
      </c>
    </row>
    <row r="77" spans="1:6" ht="12">
      <c r="A77" s="924" t="s">
        <v>11</v>
      </c>
      <c r="B77" s="59">
        <v>40155</v>
      </c>
      <c r="C77" s="60"/>
      <c r="D77" s="61"/>
      <c r="F77" s="62"/>
    </row>
    <row r="78" spans="1:6" ht="12">
      <c r="A78" s="58" t="s">
        <v>916</v>
      </c>
      <c r="B78" s="59">
        <v>40155</v>
      </c>
      <c r="C78" s="60"/>
      <c r="D78" s="61"/>
      <c r="E78" s="60"/>
      <c r="F78" s="60"/>
    </row>
    <row r="79" spans="1:4" s="60" customFormat="1" ht="12">
      <c r="A79" s="11"/>
      <c r="B79" s="1"/>
      <c r="C79"/>
      <c r="D79" s="1"/>
    </row>
    <row r="80" spans="1:4" ht="16.5">
      <c r="A80" s="14" t="s">
        <v>917</v>
      </c>
      <c r="B80" s="15"/>
      <c r="C80" s="16" t="s">
        <v>993</v>
      </c>
      <c r="D80" s="17">
        <v>40155</v>
      </c>
    </row>
    <row r="81" spans="3:5" ht="12">
      <c r="C81" s="11" t="s">
        <v>838</v>
      </c>
      <c r="E81" s="18"/>
    </row>
    <row r="82" spans="1:3" ht="12">
      <c r="A82" s="55" t="s">
        <v>945</v>
      </c>
      <c r="B82" s="35">
        <v>52290</v>
      </c>
      <c r="C82" s="1" t="s">
        <v>918</v>
      </c>
    </row>
    <row r="83" spans="1:2" ht="12">
      <c r="A83" s="11" t="s">
        <v>919</v>
      </c>
      <c r="B83" s="35" t="s">
        <v>920</v>
      </c>
    </row>
    <row r="84" spans="1:2" ht="12">
      <c r="A84" s="11" t="s">
        <v>921</v>
      </c>
      <c r="B84" s="860" t="str">
        <f>'Weight sheet'!H259</f>
        <v>92450013</v>
      </c>
    </row>
    <row r="85" spans="1:3" ht="12">
      <c r="A85" s="11" t="s">
        <v>922</v>
      </c>
      <c r="B85" s="35" t="s">
        <v>923</v>
      </c>
      <c r="C85" t="s">
        <v>924</v>
      </c>
    </row>
    <row r="86" spans="1:2" ht="12">
      <c r="A86" s="11" t="s">
        <v>925</v>
      </c>
      <c r="B86" s="862" t="str">
        <f>'Weight sheet'!H260</f>
        <v>2382567</v>
      </c>
    </row>
    <row r="87" spans="1:3" ht="12">
      <c r="A87" s="11" t="s">
        <v>926</v>
      </c>
      <c r="B87" s="35" t="s">
        <v>927</v>
      </c>
      <c r="C87" t="s">
        <v>928</v>
      </c>
    </row>
    <row r="88" spans="1:4" ht="12">
      <c r="A88" s="58" t="s">
        <v>871</v>
      </c>
      <c r="B88" s="862" t="str">
        <f>'Weight sheet'!H261</f>
        <v>2585</v>
      </c>
      <c r="C88" s="60"/>
      <c r="D88" s="61"/>
    </row>
    <row r="89" spans="1:4" s="60" customFormat="1" ht="12">
      <c r="A89" s="11" t="s">
        <v>929</v>
      </c>
      <c r="B89" s="35" t="s">
        <v>930</v>
      </c>
      <c r="C89"/>
      <c r="D89" s="1"/>
    </row>
    <row r="90" spans="1:2" ht="12">
      <c r="A90" s="11" t="s">
        <v>931</v>
      </c>
      <c r="B90" s="35" t="s">
        <v>932</v>
      </c>
    </row>
    <row r="91" spans="1:2" ht="12">
      <c r="A91" s="11" t="s">
        <v>933</v>
      </c>
      <c r="B91" s="860" t="str">
        <f>'Weight sheet'!H262</f>
        <v>23344</v>
      </c>
    </row>
    <row r="92" spans="1:4" ht="12">
      <c r="A92" s="58"/>
      <c r="B92" s="64"/>
      <c r="C92" s="60"/>
      <c r="D92" s="61"/>
    </row>
    <row r="93" spans="1:4" s="60" customFormat="1" ht="12">
      <c r="A93" s="11" t="s">
        <v>934</v>
      </c>
      <c r="B93" s="34" t="s">
        <v>935</v>
      </c>
      <c r="C93" t="s">
        <v>936</v>
      </c>
      <c r="D93" s="1"/>
    </row>
    <row r="94" ht="12">
      <c r="B94" s="65"/>
    </row>
    <row r="95" spans="1:4" ht="16.5">
      <c r="A95" s="14" t="s">
        <v>880</v>
      </c>
      <c r="B95" s="15"/>
      <c r="C95" s="16" t="s">
        <v>993</v>
      </c>
      <c r="D95" s="17">
        <v>40155</v>
      </c>
    </row>
    <row r="96" spans="2:5" ht="12">
      <c r="B96" s="49"/>
      <c r="C96" s="11" t="s">
        <v>838</v>
      </c>
      <c r="E96" s="18"/>
    </row>
    <row r="97" spans="1:3" ht="12.75">
      <c r="A97" s="11" t="s">
        <v>881</v>
      </c>
      <c r="B97" s="66" t="s">
        <v>882</v>
      </c>
      <c r="C97" s="67"/>
    </row>
    <row r="98" spans="1:3" ht="12.75">
      <c r="A98" s="11" t="s">
        <v>883</v>
      </c>
      <c r="B98" s="66" t="s">
        <v>884</v>
      </c>
      <c r="C98" s="67"/>
    </row>
    <row r="99" spans="1:6" ht="12.75">
      <c r="A99" s="11" t="s">
        <v>885</v>
      </c>
      <c r="B99" s="861" t="str">
        <f>'Weight sheet'!H266</f>
        <v>11H010519</v>
      </c>
      <c r="C99" s="67"/>
      <c r="F99" s="60"/>
    </row>
    <row r="100" spans="1:6" ht="12.75">
      <c r="A100" s="11"/>
      <c r="B100" s="33"/>
      <c r="C100" s="67"/>
      <c r="F100" s="60"/>
    </row>
    <row r="101" spans="1:6" ht="12">
      <c r="A101" s="11" t="s">
        <v>886</v>
      </c>
      <c r="B101" s="858" t="str">
        <f>'Weight sheet'!H54</f>
        <v>ES-141</v>
      </c>
      <c r="C101" s="49" t="s">
        <v>887</v>
      </c>
      <c r="F101" s="60"/>
    </row>
    <row r="102" spans="1:6" ht="12.75">
      <c r="A102" s="11" t="s">
        <v>888</v>
      </c>
      <c r="B102" s="861" t="str">
        <f>'Weight sheet'!H267</f>
        <v>11785436</v>
      </c>
      <c r="C102" s="67"/>
      <c r="F102" s="60"/>
    </row>
    <row r="103" spans="1:6" ht="12.75">
      <c r="A103" s="11"/>
      <c r="B103" s="33"/>
      <c r="C103" s="67"/>
      <c r="F103" s="60"/>
    </row>
    <row r="104" spans="1:3" ht="12.75">
      <c r="A104" s="11" t="s">
        <v>889</v>
      </c>
      <c r="B104" s="29" t="s">
        <v>890</v>
      </c>
      <c r="C104" s="67"/>
    </row>
    <row r="105" spans="1:3" ht="12.75">
      <c r="A105" s="11" t="s">
        <v>891</v>
      </c>
      <c r="B105" s="29">
        <v>3013</v>
      </c>
      <c r="C105" s="67"/>
    </row>
    <row r="106" spans="1:3" ht="12.75">
      <c r="A106" s="11" t="s">
        <v>892</v>
      </c>
      <c r="B106" s="862">
        <f>'Weight sheet'!H299</f>
        <v>5195</v>
      </c>
      <c r="C106" s="67"/>
    </row>
    <row r="107" ht="12">
      <c r="C107" s="21"/>
    </row>
    <row r="108" spans="1:4" ht="16.5">
      <c r="A108" s="14" t="s">
        <v>893</v>
      </c>
      <c r="B108" s="15"/>
      <c r="C108" s="16" t="s">
        <v>993</v>
      </c>
      <c r="D108" s="17">
        <v>40155</v>
      </c>
    </row>
    <row r="109" spans="3:5" ht="12">
      <c r="C109" s="11" t="s">
        <v>838</v>
      </c>
      <c r="E109" s="18"/>
    </row>
    <row r="110" spans="1:2" ht="12">
      <c r="A110" s="11" t="s">
        <v>944</v>
      </c>
      <c r="B110" s="29" t="s">
        <v>894</v>
      </c>
    </row>
    <row r="111" spans="1:2" ht="12">
      <c r="A111" s="11" t="s">
        <v>895</v>
      </c>
      <c r="B111" s="29">
        <v>955</v>
      </c>
    </row>
    <row r="112" spans="1:4" ht="12">
      <c r="A112" s="11" t="s">
        <v>896</v>
      </c>
      <c r="B112" s="860" t="str">
        <f>'Weight sheet'!H268</f>
        <v>214</v>
      </c>
      <c r="D112" s="11"/>
    </row>
    <row r="113" spans="1:4" ht="12">
      <c r="A113" s="11" t="s">
        <v>897</v>
      </c>
      <c r="B113" s="860" t="str">
        <f>'Weight sheet'!H269</f>
        <v>1947</v>
      </c>
      <c r="D113" s="11"/>
    </row>
    <row r="114" spans="1:4" ht="12">
      <c r="A114" s="11" t="s">
        <v>898</v>
      </c>
      <c r="B114" s="35" t="s">
        <v>899</v>
      </c>
      <c r="D114" s="11"/>
    </row>
    <row r="115" spans="1:4" ht="12">
      <c r="A115" s="11"/>
      <c r="B115" s="35"/>
      <c r="D115" s="11"/>
    </row>
    <row r="116" spans="1:4" ht="12">
      <c r="A116" s="11" t="s">
        <v>900</v>
      </c>
      <c r="B116" s="469">
        <v>15</v>
      </c>
      <c r="C116" t="s">
        <v>901</v>
      </c>
      <c r="D116" s="13"/>
    </row>
    <row r="117" spans="1:3" ht="12">
      <c r="A117" s="11" t="s">
        <v>902</v>
      </c>
      <c r="B117" s="469">
        <v>11.5</v>
      </c>
      <c r="C117" t="s">
        <v>901</v>
      </c>
    </row>
    <row r="118" spans="1:3" ht="12">
      <c r="A118" s="11" t="s">
        <v>745</v>
      </c>
      <c r="B118" s="63" t="s">
        <v>72</v>
      </c>
      <c r="C118" t="s">
        <v>746</v>
      </c>
    </row>
    <row r="119" spans="1:2" ht="12">
      <c r="A119" s="11"/>
      <c r="B119" s="56"/>
    </row>
    <row r="120" spans="1:4" ht="16.5">
      <c r="A120" s="14" t="s">
        <v>747</v>
      </c>
      <c r="B120" s="15"/>
      <c r="C120" s="16" t="s">
        <v>993</v>
      </c>
      <c r="D120" s="17">
        <v>40155</v>
      </c>
    </row>
    <row r="121" spans="2:5" ht="12">
      <c r="B121" s="13"/>
      <c r="D121" t="s">
        <v>838</v>
      </c>
      <c r="E121" s="18"/>
    </row>
    <row r="122" spans="1:2" ht="12">
      <c r="A122" s="11" t="s">
        <v>895</v>
      </c>
      <c r="B122" s="29" t="s">
        <v>748</v>
      </c>
    </row>
    <row r="123" spans="1:4" ht="12">
      <c r="A123" s="58" t="s">
        <v>749</v>
      </c>
      <c r="B123" s="858" t="str">
        <f>'Weight sheet'!H273</f>
        <v>300224010848200</v>
      </c>
      <c r="C123" s="60"/>
      <c r="D123" s="61"/>
    </row>
    <row r="124" spans="1:4" s="60" customFormat="1" ht="12">
      <c r="A124" s="467" t="s">
        <v>430</v>
      </c>
      <c r="B124" s="858" t="str">
        <f>'Weight sheet'!H272</f>
        <v>707XM0</v>
      </c>
      <c r="D124" s="61"/>
    </row>
    <row r="125" spans="1:4" s="60" customFormat="1" ht="12">
      <c r="A125" s="58" t="s">
        <v>750</v>
      </c>
      <c r="B125" s="948" t="s">
        <v>227</v>
      </c>
      <c r="C125" s="61" t="s">
        <v>751</v>
      </c>
      <c r="D125" s="61" t="s">
        <v>752</v>
      </c>
    </row>
    <row r="126" spans="1:5" s="60" customFormat="1" ht="12">
      <c r="A126" s="58" t="s">
        <v>753</v>
      </c>
      <c r="B126" s="859">
        <v>8.98816922400043E+18</v>
      </c>
      <c r="C126" s="68" t="s">
        <v>239</v>
      </c>
      <c r="D126" s="69"/>
      <c r="E126" s="471"/>
    </row>
    <row r="128" spans="1:4" ht="16.5">
      <c r="A128" s="14" t="s">
        <v>754</v>
      </c>
      <c r="B128" s="15"/>
      <c r="C128" s="16" t="s">
        <v>993</v>
      </c>
      <c r="D128" s="17">
        <v>40155</v>
      </c>
    </row>
    <row r="129" spans="2:5" ht="12">
      <c r="B129" s="49"/>
      <c r="C129" s="21"/>
      <c r="D129" t="s">
        <v>838</v>
      </c>
      <c r="E129" s="18"/>
    </row>
    <row r="130" spans="1:3" ht="12">
      <c r="A130" s="11" t="s">
        <v>755</v>
      </c>
      <c r="B130" s="857" t="str">
        <f>'Weight sheet'!H231</f>
        <v>0134</v>
      </c>
      <c r="C130" s="21"/>
    </row>
    <row r="131" spans="1:3" ht="12">
      <c r="A131" s="11" t="s">
        <v>756</v>
      </c>
      <c r="B131" s="857" t="str">
        <f>B130</f>
        <v>0134</v>
      </c>
      <c r="C131" s="21"/>
    </row>
    <row r="132" spans="1:3" ht="12">
      <c r="A132" s="11" t="s">
        <v>757</v>
      </c>
      <c r="B132" s="857" t="str">
        <f>B130</f>
        <v>0134</v>
      </c>
      <c r="C132" s="21"/>
    </row>
    <row r="133" spans="1:3" ht="12">
      <c r="A133" s="11" t="s">
        <v>766</v>
      </c>
      <c r="B133" s="70"/>
      <c r="C133" s="21"/>
    </row>
    <row r="134" spans="1:5" ht="12">
      <c r="A134" s="1026" t="s">
        <v>767</v>
      </c>
      <c r="B134" s="1026"/>
      <c r="C134" s="1027" t="s">
        <v>768</v>
      </c>
      <c r="D134" s="1027"/>
      <c r="E134" s="60"/>
    </row>
    <row r="135" spans="1:5" ht="12">
      <c r="A135" s="71" t="s">
        <v>769</v>
      </c>
      <c r="B135" s="72">
        <v>-10.0584876</v>
      </c>
      <c r="C135" s="71" t="s">
        <v>769</v>
      </c>
      <c r="D135" s="72">
        <v>0.00433602546</v>
      </c>
      <c r="E135" s="60"/>
    </row>
    <row r="136" spans="1:5" ht="12">
      <c r="A136" s="71" t="s">
        <v>770</v>
      </c>
      <c r="B136" s="72">
        <v>1.15509111</v>
      </c>
      <c r="C136" s="71" t="s">
        <v>770</v>
      </c>
      <c r="D136" s="72">
        <v>0.000622645067</v>
      </c>
      <c r="E136" s="60"/>
    </row>
    <row r="137" spans="1:5" ht="12">
      <c r="A137" s="71" t="s">
        <v>771</v>
      </c>
      <c r="B137" s="72">
        <v>-0.00212444128</v>
      </c>
      <c r="C137" s="71" t="s">
        <v>771</v>
      </c>
      <c r="D137" s="72">
        <v>2.29713989E-05</v>
      </c>
      <c r="E137" s="60"/>
    </row>
    <row r="138" spans="1:5" ht="12">
      <c r="A138" s="71" t="s">
        <v>772</v>
      </c>
      <c r="B138" s="72">
        <v>0.000243270706</v>
      </c>
      <c r="C138" s="71" t="s">
        <v>772</v>
      </c>
      <c r="D138" s="72">
        <v>2.40827961E-06</v>
      </c>
      <c r="E138" s="60"/>
    </row>
    <row r="139" spans="1:5" ht="12">
      <c r="A139" s="73" t="s">
        <v>773</v>
      </c>
      <c r="B139" s="74">
        <v>-9.57E-08</v>
      </c>
      <c r="C139" s="73" t="s">
        <v>774</v>
      </c>
      <c r="D139" s="75">
        <v>1000</v>
      </c>
      <c r="E139" s="60"/>
    </row>
    <row r="140" spans="1:5" ht="12">
      <c r="A140" s="73" t="s">
        <v>775</v>
      </c>
      <c r="B140" s="72">
        <v>3.25E-06</v>
      </c>
      <c r="C140" s="73"/>
      <c r="D140" s="76"/>
      <c r="E140" s="60"/>
    </row>
    <row r="142" spans="1:4" ht="16.5">
      <c r="A142" s="14" t="s">
        <v>776</v>
      </c>
      <c r="B142" s="15"/>
      <c r="C142" s="16" t="s">
        <v>993</v>
      </c>
      <c r="D142" s="17">
        <v>40155</v>
      </c>
    </row>
    <row r="143" spans="1:9" ht="12">
      <c r="A143" s="905" t="s">
        <v>162</v>
      </c>
      <c r="B143" s="49"/>
      <c r="C143" s="21"/>
      <c r="D143" s="77"/>
      <c r="E143" s="18"/>
      <c r="I143" t="s">
        <v>777</v>
      </c>
    </row>
    <row r="144" spans="1:5" ht="12">
      <c r="A144" s="22" t="s">
        <v>944</v>
      </c>
      <c r="B144" s="898" t="s">
        <v>100</v>
      </c>
      <c r="C144" s="21"/>
      <c r="D144" s="77"/>
      <c r="E144" s="18"/>
    </row>
    <row r="145" spans="1:5" ht="12">
      <c r="A145" s="11" t="s">
        <v>895</v>
      </c>
      <c r="B145" s="78"/>
      <c r="C145" s="21"/>
      <c r="D145" s="77"/>
      <c r="E145" s="18"/>
    </row>
    <row r="146" spans="1:5" ht="12">
      <c r="A146" s="11" t="s">
        <v>871</v>
      </c>
      <c r="B146" s="908">
        <f>'Weight sheet'!H75</f>
        <v>0</v>
      </c>
      <c r="C146" s="21"/>
      <c r="D146" s="77"/>
      <c r="E146" s="18"/>
    </row>
    <row r="147" spans="1:5" ht="12">
      <c r="A147" s="11"/>
      <c r="B147" s="68"/>
      <c r="C147" s="21"/>
      <c r="D147" s="77"/>
      <c r="E147" s="18"/>
    </row>
    <row r="148" spans="1:5" ht="12">
      <c r="A148" s="905" t="s">
        <v>161</v>
      </c>
      <c r="B148" s="49"/>
      <c r="C148" s="21"/>
      <c r="D148" s="77"/>
      <c r="E148" s="18"/>
    </row>
    <row r="149" spans="1:2" ht="12">
      <c r="A149" s="22" t="s">
        <v>944</v>
      </c>
      <c r="B149" s="898" t="s">
        <v>100</v>
      </c>
    </row>
    <row r="150" spans="1:4" ht="12">
      <c r="A150" s="11" t="s">
        <v>895</v>
      </c>
      <c r="B150" s="78"/>
      <c r="D150" s="61"/>
    </row>
    <row r="151" spans="1:4" s="60" customFormat="1" ht="12">
      <c r="A151" s="11" t="s">
        <v>871</v>
      </c>
      <c r="B151" s="908">
        <f>'Weight sheet'!H82</f>
        <v>0</v>
      </c>
      <c r="D151" s="61"/>
    </row>
    <row r="152" spans="1:4" s="60" customFormat="1" ht="12">
      <c r="A152"/>
      <c r="B152" s="21"/>
      <c r="C152" s="21"/>
      <c r="D152" s="1"/>
    </row>
    <row r="153" spans="1:4" ht="16.5">
      <c r="A153" s="14" t="s">
        <v>96</v>
      </c>
      <c r="B153" s="15"/>
      <c r="C153" s="16" t="s">
        <v>993</v>
      </c>
      <c r="D153" s="17">
        <v>40155</v>
      </c>
    </row>
    <row r="154" spans="2:5" ht="12">
      <c r="B154" s="33"/>
      <c r="C154" s="21" t="s">
        <v>778</v>
      </c>
      <c r="D154" s="938" t="s">
        <v>103</v>
      </c>
      <c r="E154" s="18"/>
    </row>
    <row r="155" spans="1:6" ht="12">
      <c r="A155" s="22" t="s">
        <v>944</v>
      </c>
      <c r="B155" s="922" t="s">
        <v>95</v>
      </c>
      <c r="C155" s="936" t="s">
        <v>779</v>
      </c>
      <c r="D155" s="35"/>
      <c r="F155" s="60"/>
    </row>
    <row r="156" spans="1:6" ht="12">
      <c r="A156" s="11" t="s">
        <v>895</v>
      </c>
      <c r="B156" s="852" t="s">
        <v>170</v>
      </c>
      <c r="C156" s="55" t="s">
        <v>780</v>
      </c>
      <c r="D156" s="79"/>
      <c r="F156" s="80"/>
    </row>
    <row r="157" spans="1:6" ht="12">
      <c r="A157" s="11" t="s">
        <v>871</v>
      </c>
      <c r="B157" s="908">
        <f>'Weight sheet'!H66</f>
        <v>0</v>
      </c>
      <c r="C157" s="11" t="s">
        <v>781</v>
      </c>
      <c r="D157" s="79"/>
      <c r="F157" s="80"/>
    </row>
    <row r="158" spans="1:6" ht="12">
      <c r="A158" s="58"/>
      <c r="B158" s="78"/>
      <c r="C158" s="58" t="s">
        <v>782</v>
      </c>
      <c r="D158" s="79"/>
      <c r="F158" s="80"/>
    </row>
    <row r="159" spans="1:6" s="60" customFormat="1" ht="12">
      <c r="A159" s="22"/>
      <c r="B159" s="922"/>
      <c r="C159" s="11" t="s">
        <v>783</v>
      </c>
      <c r="D159" s="79"/>
      <c r="F159" s="80"/>
    </row>
    <row r="160" spans="1:6" ht="12">
      <c r="A160" s="11"/>
      <c r="B160" s="852"/>
      <c r="C160" s="55" t="s">
        <v>784</v>
      </c>
      <c r="D160" s="81"/>
      <c r="F160" s="80"/>
    </row>
    <row r="161" spans="1:6" ht="12">
      <c r="A161" s="11"/>
      <c r="B161" s="908"/>
      <c r="C161" s="55" t="s">
        <v>785</v>
      </c>
      <c r="D161" s="82"/>
      <c r="F161" s="80"/>
    </row>
    <row r="162" spans="2:6" ht="12">
      <c r="B162" s="35"/>
      <c r="C162" s="55" t="s">
        <v>786</v>
      </c>
      <c r="D162" s="83"/>
      <c r="F162" s="80"/>
    </row>
    <row r="163" spans="3:6" ht="12">
      <c r="C163" s="55" t="s">
        <v>787</v>
      </c>
      <c r="D163" s="83"/>
      <c r="F163" s="80"/>
    </row>
    <row r="164" spans="3:6" ht="12">
      <c r="C164" s="55" t="s">
        <v>788</v>
      </c>
      <c r="D164" s="933"/>
      <c r="F164" s="80"/>
    </row>
    <row r="165" spans="3:4" ht="12">
      <c r="C165" s="55" t="s">
        <v>789</v>
      </c>
      <c r="D165" s="934"/>
    </row>
    <row r="166" ht="12">
      <c r="A166" s="55"/>
    </row>
    <row r="167" ht="12">
      <c r="B167" s="35"/>
    </row>
    <row r="168" ht="12.75" thickBot="1"/>
    <row r="169" spans="1:4" ht="18" thickBot="1">
      <c r="A169" s="14" t="s">
        <v>97</v>
      </c>
      <c r="B169" s="15"/>
      <c r="C169" s="16" t="s">
        <v>993</v>
      </c>
      <c r="D169" s="17">
        <v>40155</v>
      </c>
    </row>
    <row r="170" spans="3:4" ht="12">
      <c r="C170" s="21" t="s">
        <v>778</v>
      </c>
      <c r="D170" s="938">
        <v>36526</v>
      </c>
    </row>
    <row r="171" spans="1:3" ht="12">
      <c r="A171" s="22" t="s">
        <v>944</v>
      </c>
      <c r="B171" s="898" t="s">
        <v>98</v>
      </c>
      <c r="C171" s="936" t="s">
        <v>14</v>
      </c>
    </row>
    <row r="172" spans="1:4" ht="12">
      <c r="A172" s="11" t="s">
        <v>895</v>
      </c>
      <c r="B172" s="898" t="s">
        <v>99</v>
      </c>
      <c r="C172" s="841" t="s">
        <v>15</v>
      </c>
      <c r="D172" s="940"/>
    </row>
    <row r="173" spans="1:4" ht="12">
      <c r="A173" s="11" t="s">
        <v>871</v>
      </c>
      <c r="B173" s="860">
        <f>'Weight sheet'!H60</f>
        <v>0</v>
      </c>
      <c r="C173" s="841" t="s">
        <v>16</v>
      </c>
      <c r="D173" s="940"/>
    </row>
    <row r="174" spans="3:4" ht="12">
      <c r="C174" s="841" t="s">
        <v>17</v>
      </c>
      <c r="D174" s="940"/>
    </row>
    <row r="175" spans="3:4" ht="12">
      <c r="C175" s="841" t="s">
        <v>18</v>
      </c>
      <c r="D175" s="940"/>
    </row>
    <row r="176" spans="3:4" ht="12">
      <c r="C176" s="841" t="s">
        <v>19</v>
      </c>
      <c r="D176" s="940"/>
    </row>
    <row r="177" spans="3:4" ht="12">
      <c r="C177" s="841" t="s">
        <v>20</v>
      </c>
      <c r="D177" s="940"/>
    </row>
    <row r="178" spans="3:4" ht="12">
      <c r="C178" s="841" t="s">
        <v>21</v>
      </c>
      <c r="D178" s="940"/>
    </row>
    <row r="179" spans="3:4" ht="12">
      <c r="C179" s="841" t="s">
        <v>22</v>
      </c>
      <c r="D179" s="940"/>
    </row>
    <row r="180" spans="3:4" ht="12">
      <c r="C180" s="841" t="s">
        <v>23</v>
      </c>
      <c r="D180" s="940"/>
    </row>
    <row r="181" spans="3:4" ht="12">
      <c r="C181" s="841" t="s">
        <v>139</v>
      </c>
      <c r="D181" s="940"/>
    </row>
    <row r="182" spans="3:4" ht="12">
      <c r="C182" s="841" t="s">
        <v>140</v>
      </c>
      <c r="D182" s="940"/>
    </row>
    <row r="183" spans="3:4" ht="12">
      <c r="C183" s="841" t="s">
        <v>141</v>
      </c>
      <c r="D183" s="939"/>
    </row>
    <row r="184" spans="3:4" ht="12">
      <c r="C184" s="841" t="s">
        <v>142</v>
      </c>
      <c r="D184" s="940"/>
    </row>
    <row r="185" spans="3:4" ht="12">
      <c r="C185" s="841" t="s">
        <v>143</v>
      </c>
      <c r="D185" s="940"/>
    </row>
    <row r="186" spans="3:4" ht="12">
      <c r="C186" s="841" t="s">
        <v>144</v>
      </c>
      <c r="D186" s="940"/>
    </row>
    <row r="187" spans="3:4" ht="12">
      <c r="C187" s="841" t="s">
        <v>145</v>
      </c>
      <c r="D187" s="940"/>
    </row>
    <row r="188" spans="3:4" ht="12">
      <c r="C188" s="841" t="s">
        <v>146</v>
      </c>
      <c r="D188" s="940"/>
    </row>
    <row r="189" spans="3:4" ht="12">
      <c r="C189" s="841" t="s">
        <v>147</v>
      </c>
      <c r="D189" s="940"/>
    </row>
    <row r="190" spans="3:4" ht="12">
      <c r="C190" s="841" t="s">
        <v>148</v>
      </c>
      <c r="D190" s="941"/>
    </row>
  </sheetData>
  <sheetProtection/>
  <mergeCells count="2">
    <mergeCell ref="A134:B134"/>
    <mergeCell ref="C134:D134"/>
  </mergeCells>
  <printOptions/>
  <pageMargins left="1" right="0.7479166666666667" top="0.9840277777777777" bottom="0.9840277777777777" header="0.5118055555555555" footer="0.5"/>
  <pageSetup fitToHeight="0" fitToWidth="1" horizontalDpi="300" verticalDpi="300" orientation="portrait" scale="85"/>
  <headerFooter alignWithMargins="0">
    <oddFooter>&amp;C&amp;F&amp;RPage &amp;P of &amp;N</oddFooter>
  </headerFooter>
  <rowBreaks count="2" manualBreakCount="2">
    <brk id="51" max="255" man="1"/>
    <brk id="10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IV342"/>
  <sheetViews>
    <sheetView zoomScalePageLayoutView="0" workbookViewId="0" topLeftCell="A1">
      <selection activeCell="A8" sqref="A8"/>
    </sheetView>
  </sheetViews>
  <sheetFormatPr defaultColWidth="9.140625" defaultRowHeight="12.75"/>
  <cols>
    <col min="1" max="1" width="73.00390625" style="18" customWidth="1"/>
    <col min="2" max="2" width="22.140625" style="18" customWidth="1"/>
    <col min="3" max="3" width="16.00390625" style="21" customWidth="1"/>
    <col min="4" max="4" width="9.00390625" style="21" customWidth="1"/>
    <col min="5" max="5" width="13.421875" style="33" customWidth="1"/>
    <col min="6" max="6" width="10.421875" style="21" customWidth="1"/>
    <col min="7" max="7" width="12.421875" style="33" customWidth="1"/>
    <col min="8" max="8" width="12.00390625" style="21" customWidth="1"/>
    <col min="9" max="9" width="11.00390625" style="21" customWidth="1"/>
    <col min="10" max="10" width="13.28125" style="33" customWidth="1"/>
    <col min="11" max="11" width="11.00390625" style="21" customWidth="1"/>
    <col min="12" max="12" width="9.7109375" style="33" customWidth="1"/>
    <col min="13" max="13" width="18.00390625" style="18" customWidth="1"/>
    <col min="14" max="14" width="10.8515625" style="21" customWidth="1"/>
    <col min="15" max="16" width="9.7109375" style="21" customWidth="1"/>
    <col min="17" max="17" width="12.00390625" style="21" customWidth="1"/>
    <col min="18" max="18" width="9.28125" style="21" customWidth="1"/>
    <col min="19" max="19" width="14.140625" style="18" customWidth="1"/>
    <col min="20" max="21" width="8.8515625" style="18" customWidth="1"/>
    <col min="22" max="22" width="8.7109375" style="21" customWidth="1"/>
    <col min="23" max="23" width="16.7109375" style="18" customWidth="1"/>
    <col min="24" max="26" width="9.140625" style="18" customWidth="1"/>
    <col min="27" max="27" width="9.28125" style="18" bestFit="1" customWidth="1"/>
    <col min="28" max="16384" width="9.140625" style="18" customWidth="1"/>
  </cols>
  <sheetData>
    <row r="1" spans="1:256" ht="23.25">
      <c r="A1" s="84" t="s">
        <v>790</v>
      </c>
      <c r="B1" s="84"/>
      <c r="C1" s="1"/>
      <c r="D1" s="6" t="s">
        <v>988</v>
      </c>
      <c r="E1" s="85">
        <f ca="1">NOW()</f>
        <v>40438.33086805556</v>
      </c>
      <c r="H1" s="1"/>
      <c r="I1" s="1"/>
      <c r="K1" s="1"/>
      <c r="L1" s="35"/>
      <c r="M1"/>
      <c r="N1" s="1"/>
      <c r="P1" s="1"/>
      <c r="Q1" s="1"/>
      <c r="R1" s="1"/>
      <c r="S1"/>
      <c r="T1"/>
      <c r="U1"/>
      <c r="V1" s="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2" s="89" customFormat="1" ht="23.25">
      <c r="B2" s="87" t="s">
        <v>570</v>
      </c>
      <c r="C2" s="88">
        <f>Cal!D1</f>
        <v>513</v>
      </c>
      <c r="D2" s="6" t="s">
        <v>989</v>
      </c>
      <c r="E2" s="9">
        <f ca="1">NOW()</f>
        <v>40438.33086805556</v>
      </c>
      <c r="G2" s="90"/>
      <c r="H2" s="89">
        <f>52260-51494</f>
        <v>766</v>
      </c>
      <c r="I2" s="86"/>
      <c r="L2" s="91"/>
      <c r="M2" s="6" t="s">
        <v>791</v>
      </c>
      <c r="N2" s="86"/>
      <c r="O2" s="92"/>
      <c r="P2"/>
      <c r="Q2" s="86"/>
      <c r="R2" s="86"/>
      <c r="V2" s="86"/>
    </row>
    <row r="3" spans="3:22" s="94" customFormat="1" ht="15">
      <c r="C3" s="95"/>
      <c r="D3" s="93"/>
      <c r="E3" s="96"/>
      <c r="F3" s="93"/>
      <c r="G3" s="96"/>
      <c r="H3" s="93"/>
      <c r="I3" s="93"/>
      <c r="J3" s="97"/>
      <c r="K3" s="93"/>
      <c r="L3" s="93"/>
      <c r="N3" s="93"/>
      <c r="O3" s="97"/>
      <c r="P3" s="93"/>
      <c r="Q3" s="93"/>
      <c r="R3" s="93"/>
      <c r="V3" s="93"/>
    </row>
    <row r="4" spans="1:18" s="8" customFormat="1" ht="15">
      <c r="A4" s="6" t="s">
        <v>792</v>
      </c>
      <c r="B4" s="6"/>
      <c r="C4" s="95"/>
      <c r="E4" s="95"/>
      <c r="F4" s="98"/>
      <c r="G4" s="95"/>
      <c r="I4" s="10"/>
      <c r="J4" s="99"/>
      <c r="K4" s="100"/>
      <c r="L4" s="101"/>
      <c r="M4" s="99"/>
      <c r="N4" s="100"/>
      <c r="O4" s="100"/>
      <c r="P4" s="100"/>
      <c r="Q4" s="98"/>
      <c r="R4" s="10"/>
    </row>
    <row r="5" spans="3:18" s="8" customFormat="1" ht="15">
      <c r="C5" s="95"/>
      <c r="E5" s="95"/>
      <c r="F5" s="98"/>
      <c r="G5" s="95"/>
      <c r="I5" s="10"/>
      <c r="J5" s="99"/>
      <c r="K5" s="100"/>
      <c r="L5" s="99"/>
      <c r="M5" s="102"/>
      <c r="N5" s="100"/>
      <c r="O5" s="100"/>
      <c r="P5" s="100"/>
      <c r="Q5" s="98"/>
      <c r="R5" s="10"/>
    </row>
    <row r="6" spans="1:18" s="8" customFormat="1" ht="15.75">
      <c r="A6" s="103"/>
      <c r="B6" s="103"/>
      <c r="E6" s="95"/>
      <c r="F6" s="98"/>
      <c r="G6" s="95"/>
      <c r="I6" s="10"/>
      <c r="J6" s="99"/>
      <c r="K6" s="100"/>
      <c r="L6" s="104" t="s">
        <v>793</v>
      </c>
      <c r="M6" s="105">
        <f>Trim!C61</f>
        <v>7468.2</v>
      </c>
      <c r="N6" s="100"/>
      <c r="O6" s="100"/>
      <c r="P6" s="100"/>
      <c r="Q6" s="98"/>
      <c r="R6" s="10"/>
    </row>
    <row r="7" spans="1:18" s="8" customFormat="1" ht="15.75">
      <c r="A7" s="103"/>
      <c r="B7" s="103"/>
      <c r="C7" s="106" t="s">
        <v>794</v>
      </c>
      <c r="E7" s="95"/>
      <c r="F7" s="98"/>
      <c r="G7" s="95"/>
      <c r="I7" s="10"/>
      <c r="J7" s="99"/>
      <c r="K7" s="100"/>
      <c r="L7" s="104" t="s">
        <v>982</v>
      </c>
      <c r="M7" s="105">
        <f>Trim!C91</f>
        <v>4593.2</v>
      </c>
      <c r="N7" s="100"/>
      <c r="O7" s="100"/>
      <c r="P7" s="100"/>
      <c r="Q7" s="98"/>
      <c r="R7" s="10"/>
    </row>
    <row r="8" spans="1:18" s="109" customFormat="1" ht="15">
      <c r="A8" s="108" t="s">
        <v>983</v>
      </c>
      <c r="B8" s="108"/>
      <c r="E8" s="110"/>
      <c r="F8" s="107"/>
      <c r="G8" s="111"/>
      <c r="I8" s="107"/>
      <c r="J8" s="112"/>
      <c r="K8" s="113"/>
      <c r="L8" s="104" t="s">
        <v>984</v>
      </c>
      <c r="M8" s="105">
        <f>Trim!E56+Trim!E57</f>
        <v>39.7</v>
      </c>
      <c r="N8" s="114"/>
      <c r="O8" s="115"/>
      <c r="P8" s="113"/>
      <c r="Q8" s="107"/>
      <c r="R8" s="107"/>
    </row>
    <row r="9" spans="2:18" s="8" customFormat="1" ht="15">
      <c r="B9" s="6" t="s">
        <v>985</v>
      </c>
      <c r="C9" s="98">
        <f>Total_Weight</f>
        <v>51743.1</v>
      </c>
      <c r="D9" s="116" t="s">
        <v>986</v>
      </c>
      <c r="E9" s="117"/>
      <c r="G9" s="95"/>
      <c r="J9" s="99"/>
      <c r="L9" s="104" t="s">
        <v>798</v>
      </c>
      <c r="M9" s="937">
        <f>'Weight sheet'!H2+SUM(F65:F68)+SUM(F73:F86)</f>
        <v>51494.4</v>
      </c>
      <c r="N9" s="917" t="s">
        <v>223</v>
      </c>
      <c r="O9" s="102"/>
      <c r="Q9" s="10"/>
      <c r="R9" s="10"/>
    </row>
    <row r="10" spans="2:18" s="8" customFormat="1" ht="15">
      <c r="B10" s="118" t="s">
        <v>799</v>
      </c>
      <c r="C10" s="119">
        <f>'Weight sheet'!H2+SUM(F65:F68)+SUM(F73:F86)</f>
        <v>51494.4</v>
      </c>
      <c r="D10" s="116" t="s">
        <v>986</v>
      </c>
      <c r="E10" s="501" t="s">
        <v>222</v>
      </c>
      <c r="G10" s="95"/>
      <c r="H10" s="6"/>
      <c r="I10" s="115"/>
      <c r="K10" s="120"/>
      <c r="L10" s="104" t="s">
        <v>951</v>
      </c>
      <c r="M10" s="320">
        <f>Total_Weight_In_Air</f>
        <v>51743.1</v>
      </c>
      <c r="N10" s="100"/>
      <c r="O10" s="99"/>
      <c r="Q10" s="10"/>
      <c r="R10" s="10"/>
    </row>
    <row r="11" spans="2:18" s="8" customFormat="1" ht="15">
      <c r="B11" s="121" t="s">
        <v>952</v>
      </c>
      <c r="C11" s="115">
        <f>C10-Total_Weight_In_Air</f>
        <v>-248.6999999999971</v>
      </c>
      <c r="D11" s="116" t="s">
        <v>986</v>
      </c>
      <c r="E11" s="500"/>
      <c r="H11" s="118"/>
      <c r="I11" s="98"/>
      <c r="J11" s="116"/>
      <c r="L11" s="100" t="s">
        <v>953</v>
      </c>
      <c r="M11" s="122">
        <f>total_scale_weight</f>
        <v>51494.4</v>
      </c>
      <c r="N11" s="100"/>
      <c r="O11" s="99"/>
      <c r="Q11" s="10"/>
      <c r="R11" s="10"/>
    </row>
    <row r="12" spans="2:18" s="8" customFormat="1" ht="15">
      <c r="B12" s="121" t="s">
        <v>954</v>
      </c>
      <c r="C12" s="123">
        <f>SUM(F65:F86,F101:F102)</f>
        <v>1570.6000000000001</v>
      </c>
      <c r="D12" s="116" t="s">
        <v>986</v>
      </c>
      <c r="E12" s="124"/>
      <c r="G12" s="95"/>
      <c r="H12" s="118"/>
      <c r="I12" s="98"/>
      <c r="J12" s="116"/>
      <c r="L12" s="100" t="s">
        <v>955</v>
      </c>
      <c r="M12" s="122">
        <f>M10-M11</f>
        <v>248.6999999999971</v>
      </c>
      <c r="N12" s="100"/>
      <c r="O12" s="99"/>
      <c r="Q12" s="10"/>
      <c r="R12" s="10"/>
    </row>
    <row r="13" spans="2:18" s="8" customFormat="1" ht="15">
      <c r="B13" s="467"/>
      <c r="C13"/>
      <c r="D13"/>
      <c r="E13" s="124"/>
      <c r="G13" s="95"/>
      <c r="H13" s="118"/>
      <c r="I13" s="98"/>
      <c r="J13" s="116"/>
      <c r="L13" s="100"/>
      <c r="M13" s="122"/>
      <c r="N13" s="100"/>
      <c r="O13" s="99"/>
      <c r="Q13" s="10"/>
      <c r="R13" s="10"/>
    </row>
    <row r="14" spans="2:22" s="8" customFormat="1" ht="15">
      <c r="B14" s="6"/>
      <c r="F14" s="10"/>
      <c r="H14" s="125"/>
      <c r="I14" s="120"/>
      <c r="K14" s="99"/>
      <c r="L14" s="126"/>
      <c r="M14" s="115"/>
      <c r="N14" s="100"/>
      <c r="O14" s="115"/>
      <c r="P14" s="115"/>
      <c r="Q14" s="10"/>
      <c r="R14" s="10"/>
      <c r="V14" s="10"/>
    </row>
    <row r="15" spans="2:22" s="8" customFormat="1" ht="15.75">
      <c r="B15" s="6" t="s">
        <v>956</v>
      </c>
      <c r="C15" s="98">
        <f>Ballast!B14</f>
        <v>50038.03674301481</v>
      </c>
      <c r="D15" s="8" t="s">
        <v>957</v>
      </c>
      <c r="E15" s="127" t="s">
        <v>955</v>
      </c>
      <c r="F15" s="128" t="s">
        <v>958</v>
      </c>
      <c r="G15" s="124"/>
      <c r="H15" s="129"/>
      <c r="I15" s="130"/>
      <c r="J15" s="131"/>
      <c r="K15" s="99"/>
      <c r="L15" s="126"/>
      <c r="M15" s="115"/>
      <c r="N15" s="100"/>
      <c r="O15" s="115"/>
      <c r="P15" s="115"/>
      <c r="Q15" s="10"/>
      <c r="R15" s="10"/>
      <c r="V15" s="10"/>
    </row>
    <row r="16" spans="2:22" s="8" customFormat="1" ht="15">
      <c r="B16" s="6" t="s">
        <v>959</v>
      </c>
      <c r="C16" s="132">
        <f>K53</f>
        <v>50274.21532846714</v>
      </c>
      <c r="D16" s="116" t="s">
        <v>957</v>
      </c>
      <c r="E16" s="133">
        <f>Displaced_Volume-C15</f>
        <v>236.17858545232593</v>
      </c>
      <c r="F16" s="116"/>
      <c r="G16" s="124"/>
      <c r="H16" s="129"/>
      <c r="I16" s="130"/>
      <c r="J16" s="131"/>
      <c r="K16" s="99"/>
      <c r="L16" s="126"/>
      <c r="M16" s="115"/>
      <c r="N16" s="100"/>
      <c r="O16" s="115"/>
      <c r="P16" s="115"/>
      <c r="Q16" s="10"/>
      <c r="R16" s="10"/>
      <c r="V16" s="10"/>
    </row>
    <row r="17" spans="2:22" s="8" customFormat="1" ht="15">
      <c r="B17" s="6"/>
      <c r="C17" s="129"/>
      <c r="D17" s="94"/>
      <c r="E17" s="914" t="s">
        <v>12</v>
      </c>
      <c r="F17" s="10"/>
      <c r="G17" s="124"/>
      <c r="H17" s="129"/>
      <c r="I17" s="932" t="s">
        <v>13</v>
      </c>
      <c r="J17" s="131"/>
      <c r="K17" s="99"/>
      <c r="L17" s="126"/>
      <c r="M17" s="115"/>
      <c r="N17" s="100"/>
      <c r="O17" s="115"/>
      <c r="P17" s="115"/>
      <c r="Q17" s="10"/>
      <c r="R17" s="10"/>
      <c r="V17" s="10"/>
    </row>
    <row r="18" spans="2:22" s="8" customFormat="1" ht="15.75">
      <c r="B18" s="134" t="s">
        <v>960</v>
      </c>
      <c r="C18" s="915">
        <v>1.0275</v>
      </c>
      <c r="D18" s="109" t="s">
        <v>961</v>
      </c>
      <c r="E18" s="914" t="s">
        <v>167</v>
      </c>
      <c r="G18" s="124"/>
      <c r="J18" s="99"/>
      <c r="K18" s="99"/>
      <c r="L18" s="126"/>
      <c r="M18" s="497"/>
      <c r="N18" s="1028" t="s">
        <v>242</v>
      </c>
      <c r="O18" s="1029"/>
      <c r="P18" s="115"/>
      <c r="Q18" s="572" t="s">
        <v>246</v>
      </c>
      <c r="R18" s="572" t="s">
        <v>247</v>
      </c>
      <c r="V18" s="10"/>
    </row>
    <row r="19" spans="2:22" s="8" customFormat="1" ht="15.75">
      <c r="B19" s="6" t="s">
        <v>962</v>
      </c>
      <c r="C19" s="98">
        <f>Displaced_Volume*rho_2-Total_Weight_In_Air</f>
        <v>-86.34375000001455</v>
      </c>
      <c r="D19" s="8" t="s">
        <v>957</v>
      </c>
      <c r="F19" s="128" t="s">
        <v>963</v>
      </c>
      <c r="G19" s="124"/>
      <c r="H19" s="118"/>
      <c r="I19" s="98"/>
      <c r="J19" s="135"/>
      <c r="K19" s="99"/>
      <c r="L19" s="126"/>
      <c r="M19" s="115"/>
      <c r="N19" s="1029"/>
      <c r="O19" s="1029"/>
      <c r="P19" s="115"/>
      <c r="Q19" s="576">
        <v>100</v>
      </c>
      <c r="R19" s="575">
        <f>0.8</f>
        <v>0.8</v>
      </c>
      <c r="V19" s="10"/>
    </row>
    <row r="20" spans="2:27" s="103" customFormat="1" ht="15.75">
      <c r="B20" s="136" t="s">
        <v>808</v>
      </c>
      <c r="C20" s="574">
        <v>0.7999282643722171</v>
      </c>
      <c r="D20" s="99"/>
      <c r="E20" s="137">
        <f>Cal!C42+C20*(Cal!C43-Cal!C42)</f>
        <v>3246.5441907513264</v>
      </c>
      <c r="F20" s="138" t="s">
        <v>809</v>
      </c>
      <c r="G20" s="138" t="s">
        <v>810</v>
      </c>
      <c r="J20" s="139"/>
      <c r="K20" s="140"/>
      <c r="L20" s="141"/>
      <c r="M20" s="99"/>
      <c r="N20" s="140"/>
      <c r="O20" s="141"/>
      <c r="P20" s="99"/>
      <c r="Q20" s="576">
        <v>125</v>
      </c>
      <c r="R20" s="575">
        <f>R$19-((Q20-Q$19)*0.000857142857142857)</f>
        <v>0.7785714285714286</v>
      </c>
      <c r="S20" s="8"/>
      <c r="T20" s="8"/>
      <c r="U20" s="8"/>
      <c r="W20" s="8"/>
      <c r="X20" s="8"/>
      <c r="Y20" s="8"/>
      <c r="Z20" s="8"/>
      <c r="AA20" s="8"/>
    </row>
    <row r="21" spans="2:27" s="103" customFormat="1" ht="15.75">
      <c r="B21" s="136" t="s">
        <v>383</v>
      </c>
      <c r="C21" s="571">
        <v>0.8</v>
      </c>
      <c r="D21" s="99"/>
      <c r="E21" s="918" t="s">
        <v>248</v>
      </c>
      <c r="F21" s="100"/>
      <c r="G21"/>
      <c r="H21"/>
      <c r="I21"/>
      <c r="J21" s="139"/>
      <c r="K21" s="140"/>
      <c r="L21" s="141"/>
      <c r="M21" s="99"/>
      <c r="N21" s="140"/>
      <c r="O21" s="141"/>
      <c r="P21" s="99"/>
      <c r="Q21" s="576">
        <v>150</v>
      </c>
      <c r="R21" s="575">
        <f aca="true" t="shared" si="0" ref="R21:R27">R$19-((Q21-Q$19)*0.000857142857142857)</f>
        <v>0.7571428571428572</v>
      </c>
      <c r="S21" s="8"/>
      <c r="T21" s="8"/>
      <c r="U21" s="8"/>
      <c r="W21" s="8"/>
      <c r="X21" s="8"/>
      <c r="Y21" s="8"/>
      <c r="Z21" s="8"/>
      <c r="AA21" s="8"/>
    </row>
    <row r="22" spans="2:27" s="103" customFormat="1" ht="15.75">
      <c r="B22" s="136"/>
      <c r="C22" s="143"/>
      <c r="D22" s="99"/>
      <c r="E22" s="99"/>
      <c r="G22" s="11" t="s">
        <v>811</v>
      </c>
      <c r="H22" s="19">
        <v>0.00167</v>
      </c>
      <c r="I22" s="144" t="s">
        <v>812</v>
      </c>
      <c r="J22" s="139"/>
      <c r="K22" s="140"/>
      <c r="L22" s="141"/>
      <c r="M22" s="99"/>
      <c r="N22" s="140"/>
      <c r="O22" s="141"/>
      <c r="P22" s="99"/>
      <c r="Q22" s="576">
        <v>175</v>
      </c>
      <c r="R22" s="575">
        <f t="shared" si="0"/>
        <v>0.7357142857142858</v>
      </c>
      <c r="S22" s="8"/>
      <c r="T22" s="8"/>
      <c r="U22" s="8"/>
      <c r="W22" s="8"/>
      <c r="X22" s="8"/>
      <c r="Y22" s="8"/>
      <c r="Z22" s="8"/>
      <c r="AA22" s="8"/>
    </row>
    <row r="23" spans="1:27" s="103" customFormat="1" ht="15.75">
      <c r="A23" s="145" t="s">
        <v>243</v>
      </c>
      <c r="C23" s="143"/>
      <c r="D23" s="99"/>
      <c r="E23" s="99"/>
      <c r="F23" s="100"/>
      <c r="G23" s="146"/>
      <c r="H23" s="147"/>
      <c r="L23" s="141"/>
      <c r="M23" s="99"/>
      <c r="N23" s="140"/>
      <c r="O23" s="141"/>
      <c r="P23" s="99"/>
      <c r="Q23" s="576">
        <v>200</v>
      </c>
      <c r="R23" s="575">
        <f t="shared" si="0"/>
        <v>0.7142857142857143</v>
      </c>
      <c r="S23" s="8"/>
      <c r="T23" s="8"/>
      <c r="U23" s="8"/>
      <c r="W23" s="8"/>
      <c r="X23" s="8"/>
      <c r="Y23" s="8"/>
      <c r="Z23" s="8"/>
      <c r="AA23" s="8"/>
    </row>
    <row r="24" spans="2:27" s="8" customFormat="1" ht="15">
      <c r="B24" s="6" t="s">
        <v>813</v>
      </c>
      <c r="C24" s="148">
        <f>Total_Moment_LCG/Total_Weight</f>
        <v>89.27920905927223</v>
      </c>
      <c r="D24" s="10" t="s">
        <v>814</v>
      </c>
      <c r="E24" s="149">
        <f>C24/2.54</f>
        <v>35.14929490522529</v>
      </c>
      <c r="F24" s="116" t="s">
        <v>815</v>
      </c>
      <c r="M24" s="99"/>
      <c r="N24" s="99"/>
      <c r="O24" s="99"/>
      <c r="P24" s="99"/>
      <c r="Q24" s="576">
        <v>225</v>
      </c>
      <c r="R24" s="575">
        <f t="shared" si="0"/>
        <v>0.692857142857143</v>
      </c>
      <c r="V24" s="10"/>
      <c r="AA24" s="578"/>
    </row>
    <row r="25" spans="2:27" s="8" customFormat="1" ht="15">
      <c r="B25" s="6" t="s">
        <v>816</v>
      </c>
      <c r="C25" s="150">
        <f>Total_Moment_LCB/Displaced_Volume</f>
        <v>89.15507719888994</v>
      </c>
      <c r="D25" s="10" t="s">
        <v>814</v>
      </c>
      <c r="E25" s="149">
        <f>C25/2.54</f>
        <v>35.10042409405116</v>
      </c>
      <c r="F25" s="151" t="s">
        <v>815</v>
      </c>
      <c r="G25" s="148"/>
      <c r="J25" s="496"/>
      <c r="O25" s="99"/>
      <c r="Q25" s="576">
        <v>250</v>
      </c>
      <c r="R25" s="575">
        <f t="shared" si="0"/>
        <v>0.6714285714285715</v>
      </c>
      <c r="V25" s="10"/>
      <c r="W25" s="577"/>
      <c r="AA25" s="578"/>
    </row>
    <row r="26" spans="2:27" s="8" customFormat="1" ht="15">
      <c r="B26" s="6" t="s">
        <v>817</v>
      </c>
      <c r="C26" s="148">
        <f>C24-C25</f>
        <v>0.12413186038229185</v>
      </c>
      <c r="D26" s="10" t="s">
        <v>814</v>
      </c>
      <c r="F26" s="10"/>
      <c r="J26" s="99"/>
      <c r="O26" s="99"/>
      <c r="Q26" s="576">
        <v>275</v>
      </c>
      <c r="R26" s="575">
        <f t="shared" si="0"/>
        <v>0.6500000000000001</v>
      </c>
      <c r="V26" s="10"/>
      <c r="AA26" s="578"/>
    </row>
    <row r="27" spans="2:27" s="8" customFormat="1" ht="15">
      <c r="B27" s="136" t="s">
        <v>818</v>
      </c>
      <c r="C27" s="579">
        <v>0.701568186895282</v>
      </c>
      <c r="D27" s="142"/>
      <c r="E27" s="137">
        <f>Cal!C12+stroke_2*(Cal!C13-Cal!C12)</f>
        <v>2704.105791847632</v>
      </c>
      <c r="F27" s="138" t="s">
        <v>809</v>
      </c>
      <c r="G27" s="138" t="s">
        <v>810</v>
      </c>
      <c r="J27" s="495" t="s">
        <v>381</v>
      </c>
      <c r="K27" s="152"/>
      <c r="O27" s="99"/>
      <c r="Q27" s="573">
        <v>300</v>
      </c>
      <c r="R27" s="575">
        <f t="shared" si="0"/>
        <v>0.6285714285714287</v>
      </c>
      <c r="V27" s="10"/>
      <c r="AA27" s="578"/>
    </row>
    <row r="28" spans="2:27" s="8" customFormat="1" ht="15">
      <c r="B28" s="136" t="s">
        <v>819</v>
      </c>
      <c r="C28" s="153">
        <f>stroke_2*12.8</f>
        <v>8.98007279225961</v>
      </c>
      <c r="D28" s="142" t="s">
        <v>814</v>
      </c>
      <c r="J28" s="495" t="s">
        <v>382</v>
      </c>
      <c r="O28" s="99"/>
      <c r="R28" s="10"/>
      <c r="V28" s="10"/>
      <c r="AA28" s="578"/>
    </row>
    <row r="29" spans="2:27" s="8" customFormat="1" ht="15">
      <c r="B29" s="136" t="s">
        <v>820</v>
      </c>
      <c r="C29" s="154">
        <f>DEGREES(ATAN(C26/C33))</f>
        <v>12.204695653296326</v>
      </c>
      <c r="D29" s="142" t="s">
        <v>821</v>
      </c>
      <c r="E29" s="138" t="s">
        <v>822</v>
      </c>
      <c r="F29" s="100"/>
      <c r="G29" s="136"/>
      <c r="H29" s="155"/>
      <c r="I29" s="138"/>
      <c r="J29" s="153"/>
      <c r="O29" s="99"/>
      <c r="R29" s="10"/>
      <c r="V29" s="10"/>
      <c r="AA29" s="578"/>
    </row>
    <row r="30" spans="2:27" s="8" customFormat="1" ht="15">
      <c r="B30" s="6"/>
      <c r="F30" s="100"/>
      <c r="G30" s="136"/>
      <c r="H30" s="155"/>
      <c r="I30" s="138"/>
      <c r="J30" s="153"/>
      <c r="O30" s="99"/>
      <c r="R30" s="10"/>
      <c r="V30" s="10"/>
      <c r="AA30" s="578"/>
    </row>
    <row r="31" spans="2:27" s="8" customFormat="1" ht="15">
      <c r="B31" s="121" t="s">
        <v>685</v>
      </c>
      <c r="C31" s="156">
        <f>Tot_mom_VCG/Total_Weight_In_Air</f>
        <v>-0.5202692314144302</v>
      </c>
      <c r="D31" s="100" t="s">
        <v>814</v>
      </c>
      <c r="E31" s="99" t="s">
        <v>686</v>
      </c>
      <c r="F31" s="99"/>
      <c r="G31" s="99"/>
      <c r="H31" s="100"/>
      <c r="I31" s="99"/>
      <c r="J31" s="99"/>
      <c r="K31" s="99"/>
      <c r="L31" s="157"/>
      <c r="M31" s="122"/>
      <c r="N31" s="99"/>
      <c r="O31" s="99"/>
      <c r="P31" s="121"/>
      <c r="Q31" s="100"/>
      <c r="R31" s="100"/>
      <c r="S31" s="121"/>
      <c r="T31" s="100"/>
      <c r="V31" s="10"/>
      <c r="AA31" s="578"/>
    </row>
    <row r="32" spans="2:27" s="159" customFormat="1" ht="15">
      <c r="B32" s="121" t="s">
        <v>687</v>
      </c>
      <c r="C32" s="156">
        <f>Tot_mom_VCB/Displaced_Volume</f>
        <v>0.05363564670560573</v>
      </c>
      <c r="D32" s="100" t="s">
        <v>814</v>
      </c>
      <c r="E32" s="139" t="s">
        <v>688</v>
      </c>
      <c r="G32" s="99"/>
      <c r="H32" s="160"/>
      <c r="I32" s="139"/>
      <c r="J32" s="139"/>
      <c r="K32" s="99"/>
      <c r="L32" s="121"/>
      <c r="M32" s="161"/>
      <c r="N32" s="139"/>
      <c r="O32" s="99"/>
      <c r="P32" s="121"/>
      <c r="Q32" s="162"/>
      <c r="R32" s="100"/>
      <c r="S32" s="121"/>
      <c r="T32" s="163"/>
      <c r="V32" s="158"/>
      <c r="AA32" s="578"/>
    </row>
    <row r="33" spans="2:22" s="159" customFormat="1" ht="15">
      <c r="B33" s="121" t="s">
        <v>689</v>
      </c>
      <c r="C33" s="156">
        <f>C32-C31</f>
        <v>0.5739048781200359</v>
      </c>
      <c r="D33" s="100" t="s">
        <v>814</v>
      </c>
      <c r="E33" s="135" t="s">
        <v>690</v>
      </c>
      <c r="G33" s="99"/>
      <c r="H33" s="100"/>
      <c r="J33" s="99"/>
      <c r="K33" s="99"/>
      <c r="L33" s="121"/>
      <c r="M33" s="883"/>
      <c r="N33" s="139"/>
      <c r="O33" s="99"/>
      <c r="P33" s="121"/>
      <c r="Q33" s="122"/>
      <c r="R33" s="100"/>
      <c r="S33" s="121"/>
      <c r="T33" s="164"/>
      <c r="V33" s="158"/>
    </row>
    <row r="34" spans="2:22" s="159" customFormat="1" ht="15">
      <c r="B34" s="136" t="s">
        <v>691</v>
      </c>
      <c r="C34" s="114">
        <v>0</v>
      </c>
      <c r="D34" s="142" t="s">
        <v>821</v>
      </c>
      <c r="E34" s="139"/>
      <c r="F34" s="100"/>
      <c r="G34" s="99"/>
      <c r="H34" s="139"/>
      <c r="I34" s="139"/>
      <c r="J34" s="139"/>
      <c r="K34" s="165"/>
      <c r="L34" s="139"/>
      <c r="M34" s="100"/>
      <c r="N34" s="99"/>
      <c r="O34" s="99"/>
      <c r="P34" s="141"/>
      <c r="Q34" s="166"/>
      <c r="R34" s="142"/>
      <c r="S34" s="139"/>
      <c r="T34" s="139"/>
      <c r="V34" s="158"/>
    </row>
    <row r="35" spans="1:22" s="159" customFormat="1" ht="15">
      <c r="A35" s="121"/>
      <c r="B35" s="121"/>
      <c r="C35" s="115"/>
      <c r="D35" s="142"/>
      <c r="E35" s="139"/>
      <c r="F35" s="100"/>
      <c r="G35" s="99"/>
      <c r="H35" s="121"/>
      <c r="J35" s="142"/>
      <c r="K35" s="165"/>
      <c r="L35" s="139"/>
      <c r="M35" s="100"/>
      <c r="N35" s="99"/>
      <c r="O35" s="99"/>
      <c r="P35" s="141"/>
      <c r="Q35" s="166"/>
      <c r="R35" s="142"/>
      <c r="S35" s="139"/>
      <c r="T35" s="139"/>
      <c r="V35" s="158"/>
    </row>
    <row r="36" spans="1:22" s="159" customFormat="1" ht="15.75" thickBot="1">
      <c r="A36" s="167"/>
      <c r="B36" s="167"/>
      <c r="C36" s="168"/>
      <c r="D36" s="167"/>
      <c r="E36" s="169"/>
      <c r="F36" s="167"/>
      <c r="G36" s="169"/>
      <c r="H36" s="169"/>
      <c r="I36" s="170"/>
      <c r="J36" s="171"/>
      <c r="K36" s="167"/>
      <c r="L36" s="172"/>
      <c r="M36" s="168"/>
      <c r="N36" s="173"/>
      <c r="O36" s="169"/>
      <c r="P36" s="174"/>
      <c r="Q36" s="175"/>
      <c r="R36" s="167"/>
      <c r="V36" s="158"/>
    </row>
    <row r="37" spans="1:27" s="103" customFormat="1" ht="16.5" customHeight="1" thickTop="1">
      <c r="A37" s="8"/>
      <c r="B37" s="8"/>
      <c r="C37" s="10"/>
      <c r="D37" s="176"/>
      <c r="E37" s="8"/>
      <c r="F37" s="103" t="s">
        <v>692</v>
      </c>
      <c r="H37" s="8"/>
      <c r="I37" s="103" t="s">
        <v>693</v>
      </c>
      <c r="J37" s="177"/>
      <c r="K37" s="8"/>
      <c r="L37" s="8"/>
      <c r="M37" s="8"/>
      <c r="N37" s="103" t="s">
        <v>693</v>
      </c>
      <c r="O37" s="178"/>
      <c r="P37" s="8"/>
      <c r="Q37" s="103" t="s">
        <v>693</v>
      </c>
      <c r="R37" s="103" t="s">
        <v>693</v>
      </c>
      <c r="S37" s="8"/>
      <c r="T37" s="8"/>
      <c r="U37" s="8"/>
      <c r="W37" s="8"/>
      <c r="X37" s="8"/>
      <c r="Y37" s="8"/>
      <c r="Z37" s="8"/>
      <c r="AA37" s="8"/>
    </row>
    <row r="38" spans="3:27" s="103" customFormat="1" ht="16.5" customHeight="1">
      <c r="C38" s="103" t="s">
        <v>283</v>
      </c>
      <c r="D38" s="179" t="s">
        <v>694</v>
      </c>
      <c r="E38" s="180" t="s">
        <v>833</v>
      </c>
      <c r="F38" s="181" t="s">
        <v>833</v>
      </c>
      <c r="G38" s="182" t="s">
        <v>834</v>
      </c>
      <c r="H38" s="103" t="s">
        <v>834</v>
      </c>
      <c r="I38" s="103" t="s">
        <v>834</v>
      </c>
      <c r="J38" s="183" t="s">
        <v>835</v>
      </c>
      <c r="K38" s="103" t="s">
        <v>836</v>
      </c>
      <c r="L38" s="182" t="s">
        <v>837</v>
      </c>
      <c r="M38" s="103" t="s">
        <v>837</v>
      </c>
      <c r="N38" s="103" t="s">
        <v>837</v>
      </c>
      <c r="O38" s="184" t="s">
        <v>697</v>
      </c>
      <c r="P38" s="103" t="s">
        <v>697</v>
      </c>
      <c r="Q38" s="103" t="s">
        <v>698</v>
      </c>
      <c r="R38" s="103" t="s">
        <v>699</v>
      </c>
      <c r="S38" s="8"/>
      <c r="T38" s="8"/>
      <c r="U38" s="8"/>
      <c r="W38" s="8"/>
      <c r="X38" s="8"/>
      <c r="Y38" s="8"/>
      <c r="Z38" s="8"/>
      <c r="AA38" s="8"/>
    </row>
    <row r="39" spans="1:28" s="116" customFormat="1" ht="16.5" customHeight="1" thickBot="1">
      <c r="A39" s="185" t="s">
        <v>700</v>
      </c>
      <c r="B39" s="185" t="s">
        <v>87</v>
      </c>
      <c r="C39" s="185" t="s">
        <v>701</v>
      </c>
      <c r="D39" s="186"/>
      <c r="E39" s="187" t="s">
        <v>702</v>
      </c>
      <c r="F39" s="185" t="s">
        <v>702</v>
      </c>
      <c r="G39" s="188" t="s">
        <v>703</v>
      </c>
      <c r="H39" s="185" t="s">
        <v>814</v>
      </c>
      <c r="I39" s="185" t="s">
        <v>704</v>
      </c>
      <c r="J39" s="189" t="s">
        <v>957</v>
      </c>
      <c r="K39" s="185" t="s">
        <v>957</v>
      </c>
      <c r="L39" s="188" t="s">
        <v>703</v>
      </c>
      <c r="M39" s="185" t="s">
        <v>814</v>
      </c>
      <c r="N39" s="185" t="s">
        <v>705</v>
      </c>
      <c r="O39" s="190" t="s">
        <v>703</v>
      </c>
      <c r="P39" s="185" t="s">
        <v>814</v>
      </c>
      <c r="Q39" s="185" t="s">
        <v>704</v>
      </c>
      <c r="R39" s="185" t="s">
        <v>705</v>
      </c>
      <c r="S39" s="8"/>
      <c r="U39" s="8"/>
      <c r="V39" s="98"/>
      <c r="W39" s="8"/>
      <c r="X39" s="8"/>
      <c r="Y39" s="8"/>
      <c r="Z39" s="8"/>
      <c r="AA39" s="8"/>
      <c r="AB39" s="8"/>
    </row>
    <row r="40" spans="1:28" s="116" customFormat="1" ht="16.5" customHeight="1" thickTop="1">
      <c r="A40" s="181"/>
      <c r="B40" s="181"/>
      <c r="C40" s="181"/>
      <c r="D40" s="179"/>
      <c r="E40" s="191"/>
      <c r="F40" s="181"/>
      <c r="G40" s="192"/>
      <c r="H40" s="181"/>
      <c r="I40" s="181"/>
      <c r="J40" s="183"/>
      <c r="K40" s="181"/>
      <c r="L40" s="192"/>
      <c r="M40" s="181"/>
      <c r="N40" s="181"/>
      <c r="O40" s="184"/>
      <c r="P40" s="181"/>
      <c r="Q40" s="181"/>
      <c r="R40" s="181"/>
      <c r="S40" s="8"/>
      <c r="U40" s="8"/>
      <c r="V40" s="98"/>
      <c r="W40" s="8"/>
      <c r="X40" s="8"/>
      <c r="Y40" s="8"/>
      <c r="Z40" s="8"/>
      <c r="AA40" s="8"/>
      <c r="AB40" s="8"/>
    </row>
    <row r="41" spans="2:28" s="128" customFormat="1" ht="16.5" customHeight="1">
      <c r="B41" s="6" t="s">
        <v>706</v>
      </c>
      <c r="D41" s="179"/>
      <c r="E41" s="193"/>
      <c r="F41" s="194"/>
      <c r="G41" s="182"/>
      <c r="H41" s="103"/>
      <c r="J41" s="183"/>
      <c r="K41" s="103"/>
      <c r="L41" s="182"/>
      <c r="M41" s="103"/>
      <c r="O41" s="184"/>
      <c r="P41" s="103"/>
      <c r="R41" s="103"/>
      <c r="S41" s="195"/>
      <c r="U41" s="195"/>
      <c r="V41" s="196"/>
      <c r="W41" s="195"/>
      <c r="X41" s="195"/>
      <c r="Y41" s="195"/>
      <c r="Z41" s="195"/>
      <c r="AA41" s="195"/>
      <c r="AB41" s="195"/>
    </row>
    <row r="42" spans="2:28" s="128" customFormat="1" ht="16.5" customHeight="1">
      <c r="B42" s="6" t="s">
        <v>707</v>
      </c>
      <c r="C42" s="194">
        <f>C60+C90</f>
        <v>12294.5</v>
      </c>
      <c r="D42" s="197" t="s">
        <v>986</v>
      </c>
      <c r="E42" s="198" t="s">
        <v>955</v>
      </c>
      <c r="F42" s="199"/>
      <c r="G42" s="182"/>
      <c r="H42" s="103"/>
      <c r="J42" s="183"/>
      <c r="K42" s="103"/>
      <c r="L42" s="182"/>
      <c r="M42" s="103"/>
      <c r="O42" s="184"/>
      <c r="P42" s="103"/>
      <c r="R42" s="103"/>
      <c r="S42" s="195"/>
      <c r="U42" s="195"/>
      <c r="V42" s="196"/>
      <c r="W42" s="195"/>
      <c r="X42" s="195"/>
      <c r="Y42" s="195"/>
      <c r="Z42" s="195"/>
      <c r="AA42" s="195"/>
      <c r="AB42" s="195"/>
    </row>
    <row r="43" spans="2:28" s="128" customFormat="1" ht="16.5" customHeight="1">
      <c r="B43" s="134" t="s">
        <v>708</v>
      </c>
      <c r="C43" s="194">
        <f>C61+C91</f>
        <v>12061.4</v>
      </c>
      <c r="D43" s="197" t="s">
        <v>986</v>
      </c>
      <c r="E43" s="200">
        <f>C43-C42</f>
        <v>-233.10000000000036</v>
      </c>
      <c r="F43" s="199"/>
      <c r="G43" s="182"/>
      <c r="H43" s="103"/>
      <c r="J43" s="183"/>
      <c r="K43" s="103"/>
      <c r="L43" s="182"/>
      <c r="M43" s="103"/>
      <c r="O43" s="184"/>
      <c r="P43" s="103"/>
      <c r="R43" s="103"/>
      <c r="S43" s="195"/>
      <c r="U43" s="195"/>
      <c r="V43" s="196"/>
      <c r="W43" s="195"/>
      <c r="X43" s="195"/>
      <c r="Y43" s="195"/>
      <c r="Z43" s="195"/>
      <c r="AA43" s="195"/>
      <c r="AB43" s="195"/>
    </row>
    <row r="44" spans="2:27" s="116" customFormat="1" ht="16.5" customHeight="1">
      <c r="B44" s="6" t="s">
        <v>709</v>
      </c>
      <c r="C44" s="194">
        <f>SUM(K62:K143)</f>
        <v>7625.428151023334</v>
      </c>
      <c r="D44" s="177" t="s">
        <v>957</v>
      </c>
      <c r="G44" s="95"/>
      <c r="H44" s="8"/>
      <c r="I44" s="10"/>
      <c r="J44" s="201"/>
      <c r="K44" s="98"/>
      <c r="L44" s="124"/>
      <c r="M44" s="8"/>
      <c r="N44" s="98"/>
      <c r="O44" s="202"/>
      <c r="P44" s="98"/>
      <c r="Q44" s="98"/>
      <c r="R44" s="98"/>
      <c r="S44" s="8"/>
      <c r="T44" s="8"/>
      <c r="U44" s="8"/>
      <c r="V44" s="98"/>
      <c r="W44" s="8"/>
      <c r="X44" s="8"/>
      <c r="Y44" s="8"/>
      <c r="Z44" s="8"/>
      <c r="AA44" s="8"/>
    </row>
    <row r="45" spans="2:27" s="116" customFormat="1" ht="16.5" customHeight="1">
      <c r="B45" s="128"/>
      <c r="C45" s="194"/>
      <c r="D45" s="177"/>
      <c r="E45" s="203" t="s">
        <v>710</v>
      </c>
      <c r="F45" s="265">
        <f>E43+E48</f>
        <v>-214.30000000000473</v>
      </c>
      <c r="G45" s="95"/>
      <c r="H45" s="8"/>
      <c r="I45" s="10"/>
      <c r="J45" s="201"/>
      <c r="K45" s="98"/>
      <c r="L45" s="124"/>
      <c r="M45" s="8"/>
      <c r="N45" s="98"/>
      <c r="O45" s="202"/>
      <c r="P45" s="98"/>
      <c r="Q45" s="98"/>
      <c r="R45" s="98"/>
      <c r="S45" s="8"/>
      <c r="T45" s="8"/>
      <c r="U45" s="8"/>
      <c r="V45" s="98"/>
      <c r="W45" s="8"/>
      <c r="X45" s="8"/>
      <c r="Y45" s="8"/>
      <c r="Z45" s="8"/>
      <c r="AA45" s="8"/>
    </row>
    <row r="46" spans="2:27" s="116" customFormat="1" ht="16.5" customHeight="1">
      <c r="B46" s="6" t="s">
        <v>711</v>
      </c>
      <c r="C46" s="128"/>
      <c r="D46" s="179"/>
      <c r="E46" s="193"/>
      <c r="G46" s="95"/>
      <c r="H46" s="8"/>
      <c r="I46" s="10"/>
      <c r="J46" s="201"/>
      <c r="K46" s="98"/>
      <c r="L46" s="124"/>
      <c r="M46" s="8"/>
      <c r="N46" s="98"/>
      <c r="O46" s="202"/>
      <c r="P46" s="98"/>
      <c r="Q46" s="98"/>
      <c r="R46" s="98"/>
      <c r="S46" s="8"/>
      <c r="T46" s="8"/>
      <c r="U46" s="8"/>
      <c r="V46" s="98"/>
      <c r="W46" s="8"/>
      <c r="X46" s="8"/>
      <c r="Y46" s="8"/>
      <c r="Z46" s="8"/>
      <c r="AA46" s="8"/>
    </row>
    <row r="47" spans="2:27" s="116" customFormat="1" ht="16.5" customHeight="1">
      <c r="B47" s="6" t="s">
        <v>707</v>
      </c>
      <c r="C47" s="194">
        <f>C147</f>
        <v>38533.9</v>
      </c>
      <c r="D47" s="197" t="s">
        <v>986</v>
      </c>
      <c r="E47" s="198" t="s">
        <v>955</v>
      </c>
      <c r="G47" s="95"/>
      <c r="H47" s="8"/>
      <c r="I47" s="10"/>
      <c r="J47" s="201"/>
      <c r="K47" s="98"/>
      <c r="L47" s="124"/>
      <c r="M47" s="8"/>
      <c r="N47" s="98"/>
      <c r="O47" s="202"/>
      <c r="P47" s="98"/>
      <c r="Q47" s="98"/>
      <c r="R47" s="98"/>
      <c r="S47" s="8"/>
      <c r="T47" s="8"/>
      <c r="U47" s="8"/>
      <c r="V47" s="98"/>
      <c r="W47" s="8"/>
      <c r="X47" s="8"/>
      <c r="Y47" s="8"/>
      <c r="Z47" s="8"/>
      <c r="AA47" s="8"/>
    </row>
    <row r="48" spans="2:27" s="116" customFormat="1" ht="16.5" customHeight="1">
      <c r="B48" s="134" t="s">
        <v>708</v>
      </c>
      <c r="C48" s="194">
        <f>C148</f>
        <v>38552.7</v>
      </c>
      <c r="D48" s="197" t="s">
        <v>986</v>
      </c>
      <c r="E48" s="200">
        <f>C48-C47</f>
        <v>18.799999999995634</v>
      </c>
      <c r="G48" s="95"/>
      <c r="H48" s="8"/>
      <c r="I48" s="10"/>
      <c r="J48" s="201"/>
      <c r="K48" s="98"/>
      <c r="L48" s="124"/>
      <c r="M48" s="8"/>
      <c r="N48" s="98"/>
      <c r="O48" s="202"/>
      <c r="P48" s="98"/>
      <c r="Q48" s="98"/>
      <c r="R48" s="98"/>
      <c r="S48" s="8"/>
      <c r="T48" s="8"/>
      <c r="U48" s="8"/>
      <c r="V48" s="98"/>
      <c r="W48" s="8"/>
      <c r="X48" s="8"/>
      <c r="Y48" s="8"/>
      <c r="Z48" s="8"/>
      <c r="AA48" s="8"/>
    </row>
    <row r="49" spans="2:27" s="116" customFormat="1" ht="16.5" customHeight="1">
      <c r="B49" s="6" t="s">
        <v>709</v>
      </c>
      <c r="C49" s="196">
        <f>SUM(K148:K338)+SUM(K56:K57)</f>
        <v>42648.7871774438</v>
      </c>
      <c r="D49" s="177" t="s">
        <v>957</v>
      </c>
      <c r="F49" s="884"/>
      <c r="G49" s="95"/>
      <c r="H49" s="8"/>
      <c r="I49" s="10"/>
      <c r="J49" s="201"/>
      <c r="K49" s="98"/>
      <c r="L49" s="124"/>
      <c r="M49" s="8"/>
      <c r="N49" s="98"/>
      <c r="O49" s="202"/>
      <c r="P49" s="98"/>
      <c r="Q49" s="98"/>
      <c r="R49" s="98"/>
      <c r="S49" s="8"/>
      <c r="T49" s="8"/>
      <c r="U49" s="8"/>
      <c r="V49" s="98"/>
      <c r="W49" s="8"/>
      <c r="X49" s="8"/>
      <c r="Y49" s="8"/>
      <c r="Z49" s="8"/>
      <c r="AA49" s="8"/>
    </row>
    <row r="50" spans="1:27" s="116" customFormat="1" ht="16.5" customHeight="1">
      <c r="A50" s="6"/>
      <c r="B50" s="6"/>
      <c r="D50" s="177"/>
      <c r="E50" s="203"/>
      <c r="F50" s="494"/>
      <c r="G50" s="494"/>
      <c r="H50" s="8"/>
      <c r="I50" s="10"/>
      <c r="J50" s="201"/>
      <c r="K50" s="98"/>
      <c r="L50" s="124"/>
      <c r="M50" s="8"/>
      <c r="N50" s="98"/>
      <c r="O50" s="202"/>
      <c r="P50" s="98"/>
      <c r="Q50" s="98"/>
      <c r="R50" s="98"/>
      <c r="S50" s="8"/>
      <c r="T50" s="8"/>
      <c r="U50" s="8"/>
      <c r="V50" s="98"/>
      <c r="W50" s="8"/>
      <c r="X50" s="8"/>
      <c r="Y50" s="8"/>
      <c r="Z50" s="8"/>
      <c r="AA50" s="8"/>
    </row>
    <row r="51" spans="3:27" s="116" customFormat="1" ht="16.5" customHeight="1">
      <c r="C51" s="6" t="s">
        <v>712</v>
      </c>
      <c r="D51" s="177"/>
      <c r="F51" s="205">
        <f>SUM(F55:F338)</f>
        <v>51719.5</v>
      </c>
      <c r="G51" s="205"/>
      <c r="H51" s="205"/>
      <c r="I51" s="205">
        <f>SUM(I55:I338)</f>
        <v>4633603.160917175</v>
      </c>
      <c r="J51" s="205"/>
      <c r="K51" s="205">
        <f>SUM(K55:K338)</f>
        <v>50274.21532846714</v>
      </c>
      <c r="L51" s="205"/>
      <c r="M51" s="205"/>
      <c r="N51" s="205">
        <f>SUM(N55:N338)</f>
        <v>4482201.5487231035</v>
      </c>
      <c r="O51" s="205"/>
      <c r="P51" s="205"/>
      <c r="Q51" s="205">
        <f>SUM(Q55:Q338)</f>
        <v>-26920.342868</v>
      </c>
      <c r="R51" s="205">
        <f>SUM(R55:R338)</f>
        <v>2696.4900517592114</v>
      </c>
      <c r="S51" s="8"/>
      <c r="T51" s="8"/>
      <c r="U51" s="8"/>
      <c r="V51" s="98"/>
      <c r="W51" s="8"/>
      <c r="X51" s="8"/>
      <c r="Y51" s="8"/>
      <c r="Z51" s="8"/>
      <c r="AA51" s="8"/>
    </row>
    <row r="52" spans="3:28" s="116" customFormat="1" ht="16.5" customHeight="1">
      <c r="C52" s="206" t="s">
        <v>713</v>
      </c>
      <c r="D52" s="201"/>
      <c r="E52" s="207"/>
      <c r="F52" s="515">
        <v>23.6</v>
      </c>
      <c r="G52" s="515">
        <v>-233.8869385150544</v>
      </c>
      <c r="H52" s="208">
        <f>G52*2.54</f>
        <v>-594.0728238282381</v>
      </c>
      <c r="I52" s="132">
        <f>F52*H52</f>
        <v>-14020.11864234642</v>
      </c>
      <c r="J52" s="209">
        <v>0</v>
      </c>
      <c r="K52" s="132">
        <f>J52*D52</f>
        <v>0</v>
      </c>
      <c r="L52" s="207">
        <v>0</v>
      </c>
      <c r="M52" s="208">
        <f>L52*2.54</f>
        <v>0</v>
      </c>
      <c r="N52" s="132">
        <f>K52*M52</f>
        <v>0</v>
      </c>
      <c r="O52" s="210">
        <v>0</v>
      </c>
      <c r="P52" s="208">
        <f>O52*2.54</f>
        <v>0</v>
      </c>
      <c r="Q52" s="132">
        <f>F52*P52</f>
        <v>0</v>
      </c>
      <c r="R52" s="208">
        <f>K52*P52</f>
        <v>0</v>
      </c>
      <c r="S52" s="8"/>
      <c r="U52" s="8"/>
      <c r="V52" s="98"/>
      <c r="W52" s="8"/>
      <c r="X52" s="8"/>
      <c r="Y52" s="8"/>
      <c r="Z52" s="8"/>
      <c r="AA52" s="8"/>
      <c r="AB52" s="8"/>
    </row>
    <row r="53" spans="3:27" s="116" customFormat="1" ht="16.5" customHeight="1">
      <c r="C53" s="211" t="s">
        <v>714</v>
      </c>
      <c r="D53" s="177"/>
      <c r="F53" s="212">
        <f>SUM(F50:F52)</f>
        <v>51743.1</v>
      </c>
      <c r="G53" s="212"/>
      <c r="H53" s="212"/>
      <c r="I53" s="212">
        <f>SUM(I51:I52)</f>
        <v>4619583.042274829</v>
      </c>
      <c r="J53" s="213"/>
      <c r="K53" s="212">
        <f>SUM(K51:K52)</f>
        <v>50274.21532846714</v>
      </c>
      <c r="L53" s="212"/>
      <c r="M53" s="212"/>
      <c r="N53" s="212">
        <f>SUM(N51:N52)</f>
        <v>4482201.5487231035</v>
      </c>
      <c r="O53" s="213"/>
      <c r="P53" s="212"/>
      <c r="Q53" s="212">
        <f>SUM(Q51:Q52)</f>
        <v>-26920.342868</v>
      </c>
      <c r="R53" s="212">
        <f>SUM(R51:R52)</f>
        <v>2696.4900517592114</v>
      </c>
      <c r="S53" s="8"/>
      <c r="T53" s="8"/>
      <c r="U53" s="8"/>
      <c r="V53" s="98"/>
      <c r="W53" s="8"/>
      <c r="X53" s="8"/>
      <c r="Y53" s="8"/>
      <c r="Z53" s="8"/>
      <c r="AA53" s="8"/>
    </row>
    <row r="54" spans="1:27" s="116" customFormat="1" ht="16.5" customHeight="1" thickBot="1">
      <c r="A54" s="214"/>
      <c r="B54" s="223"/>
      <c r="C54" s="273"/>
      <c r="D54" s="215"/>
      <c r="E54" s="216"/>
      <c r="F54" s="217"/>
      <c r="G54" s="218"/>
      <c r="H54" s="169"/>
      <c r="I54" s="173"/>
      <c r="J54" s="219"/>
      <c r="K54" s="220"/>
      <c r="L54" s="221"/>
      <c r="M54" s="169"/>
      <c r="N54" s="220"/>
      <c r="O54" s="222"/>
      <c r="P54" s="220"/>
      <c r="Q54" s="220"/>
      <c r="R54" s="220"/>
      <c r="S54" s="8"/>
      <c r="T54" s="8"/>
      <c r="U54" s="8"/>
      <c r="V54" s="98"/>
      <c r="W54" s="8"/>
      <c r="X54" s="8"/>
      <c r="Y54" s="8"/>
      <c r="Z54" s="8"/>
      <c r="AA54" s="8"/>
    </row>
    <row r="55" spans="1:27" s="116" customFormat="1" ht="24.75" customHeight="1" thickTop="1">
      <c r="A55" s="803" t="s">
        <v>715</v>
      </c>
      <c r="B55" s="764">
        <f>'Weight sheet'!C4</f>
        <v>4197060</v>
      </c>
      <c r="C55" s="764">
        <f>'Weight sheet'!D4</f>
        <v>49801</v>
      </c>
      <c r="D55" s="787"/>
      <c r="E55" s="535"/>
      <c r="F55" s="224"/>
      <c r="G55" s="101"/>
      <c r="H55" s="99"/>
      <c r="I55" s="100"/>
      <c r="J55" s="201"/>
      <c r="K55" s="122"/>
      <c r="L55" s="126"/>
      <c r="M55" s="99"/>
      <c r="N55" s="122"/>
      <c r="O55" s="202"/>
      <c r="P55" s="122"/>
      <c r="Q55" s="122"/>
      <c r="R55" s="122"/>
      <c r="S55" s="8"/>
      <c r="T55" s="8"/>
      <c r="U55" s="8"/>
      <c r="V55" s="98"/>
      <c r="W55" s="8"/>
      <c r="X55" s="8"/>
      <c r="Y55" s="8"/>
      <c r="Z55" s="8"/>
      <c r="AA55" s="8"/>
    </row>
    <row r="56" spans="1:27" s="230" customFormat="1" ht="16.5" customHeight="1">
      <c r="A56" s="804" t="s">
        <v>716</v>
      </c>
      <c r="B56" s="766">
        <f>'Weight sheet'!C5</f>
        <v>4199128</v>
      </c>
      <c r="C56" s="766">
        <f>'Weight sheet'!D5</f>
        <v>55240</v>
      </c>
      <c r="D56" s="880">
        <f>'Weight sheet'!F5</f>
        <v>1</v>
      </c>
      <c r="E56" s="869">
        <f>'Weight sheet'!H5</f>
        <v>12.2</v>
      </c>
      <c r="F56" s="208">
        <f>E56*D56</f>
        <v>12.2</v>
      </c>
      <c r="G56" s="225">
        <v>46</v>
      </c>
      <c r="H56" s="208">
        <f>G56*2.54</f>
        <v>116.84</v>
      </c>
      <c r="I56" s="132">
        <f>F56*H56</f>
        <v>1425.4479999999999</v>
      </c>
      <c r="J56" s="226">
        <f>E56/SS_Density</f>
        <v>1.5198704372741996</v>
      </c>
      <c r="K56" s="132">
        <f>J56*D56</f>
        <v>1.5198704372741996</v>
      </c>
      <c r="L56" s="227">
        <f>G56</f>
        <v>46</v>
      </c>
      <c r="M56" s="208">
        <f>L56*2.54</f>
        <v>116.84</v>
      </c>
      <c r="N56" s="132">
        <f>K56*M56</f>
        <v>177.58166189111748</v>
      </c>
      <c r="O56" s="210">
        <v>0</v>
      </c>
      <c r="P56" s="208">
        <f>O56*2.54</f>
        <v>0</v>
      </c>
      <c r="Q56" s="132">
        <f>F56*P56</f>
        <v>0</v>
      </c>
      <c r="R56" s="208">
        <f>K56*P56</f>
        <v>0</v>
      </c>
      <c r="S56" s="228"/>
      <c r="T56" s="228"/>
      <c r="U56" s="228"/>
      <c r="V56" s="229"/>
      <c r="W56" s="228"/>
      <c r="X56" s="228"/>
      <c r="Y56" s="228"/>
      <c r="Z56" s="228"/>
      <c r="AA56" s="228"/>
    </row>
    <row r="57" spans="1:27" s="230" customFormat="1" ht="16.5" customHeight="1">
      <c r="A57" s="804" t="s">
        <v>863</v>
      </c>
      <c r="B57" s="766">
        <f>'Weight sheet'!C6</f>
        <v>4199153</v>
      </c>
      <c r="C57" s="766">
        <f>'Weight sheet'!D6</f>
        <v>55294</v>
      </c>
      <c r="D57" s="880">
        <f>'Weight sheet'!F6</f>
        <v>1</v>
      </c>
      <c r="E57" s="869">
        <f>'Weight sheet'!H6</f>
        <v>27.5</v>
      </c>
      <c r="F57" s="208">
        <f>E57*D57</f>
        <v>27.5</v>
      </c>
      <c r="G57" s="225">
        <v>49.5</v>
      </c>
      <c r="H57" s="208">
        <f>G57*2.54</f>
        <v>125.73</v>
      </c>
      <c r="I57" s="132">
        <f>F57*H57</f>
        <v>3457.5750000000003</v>
      </c>
      <c r="J57" s="226">
        <f>E57/SS_Density</f>
        <v>3.4259374610688926</v>
      </c>
      <c r="K57" s="132">
        <f>J57*D57</f>
        <v>3.4259374610688926</v>
      </c>
      <c r="L57" s="227">
        <f>G57</f>
        <v>49.5</v>
      </c>
      <c r="M57" s="208">
        <f>L57*2.54</f>
        <v>125.73</v>
      </c>
      <c r="N57" s="132">
        <f>K57*M57</f>
        <v>430.74311698019187</v>
      </c>
      <c r="O57" s="210">
        <v>0</v>
      </c>
      <c r="P57" s="208">
        <f>O57*2.54</f>
        <v>0</v>
      </c>
      <c r="Q57" s="132">
        <f>F57*P57</f>
        <v>0</v>
      </c>
      <c r="R57" s="208">
        <f>K57*P57</f>
        <v>0</v>
      </c>
      <c r="S57" s="228"/>
      <c r="T57" s="228"/>
      <c r="U57" s="228"/>
      <c r="V57" s="229"/>
      <c r="W57" s="228"/>
      <c r="X57" s="228"/>
      <c r="Y57" s="228"/>
      <c r="Z57" s="228"/>
      <c r="AA57" s="228"/>
    </row>
    <row r="58" spans="1:27" s="128" customFormat="1" ht="16.5" customHeight="1" thickBot="1">
      <c r="A58" s="214"/>
      <c r="B58" s="223"/>
      <c r="C58" s="786"/>
      <c r="D58" s="537"/>
      <c r="E58" s="538"/>
      <c r="F58" s="231"/>
      <c r="G58" s="232"/>
      <c r="H58" s="233"/>
      <c r="I58" s="185"/>
      <c r="J58" s="189"/>
      <c r="K58" s="234"/>
      <c r="L58" s="188"/>
      <c r="M58" s="233"/>
      <c r="N58" s="234"/>
      <c r="O58" s="235"/>
      <c r="P58" s="234"/>
      <c r="Q58" s="234"/>
      <c r="R58" s="234"/>
      <c r="S58" s="195"/>
      <c r="T58" s="195"/>
      <c r="U58" s="195"/>
      <c r="V58" s="196"/>
      <c r="W58" s="195"/>
      <c r="X58" s="195"/>
      <c r="Y58" s="195"/>
      <c r="Z58" s="195"/>
      <c r="AA58" s="195"/>
    </row>
    <row r="59" spans="1:27" s="128" customFormat="1" ht="16.5" customHeight="1" thickTop="1">
      <c r="A59" s="128" t="s">
        <v>864</v>
      </c>
      <c r="B59" s="764">
        <f>'Weight sheet'!C8</f>
        <v>4199433</v>
      </c>
      <c r="C59" s="764">
        <f>'Weight sheet'!D8</f>
        <v>55494</v>
      </c>
      <c r="D59" s="783"/>
      <c r="E59" s="540"/>
      <c r="F59" s="236"/>
      <c r="G59" s="237"/>
      <c r="H59" s="195"/>
      <c r="I59" s="103"/>
      <c r="J59" s="183"/>
      <c r="K59" s="196"/>
      <c r="L59" s="182"/>
      <c r="M59" s="195"/>
      <c r="N59" s="196"/>
      <c r="O59" s="238"/>
      <c r="P59" s="196"/>
      <c r="Q59" s="196"/>
      <c r="R59" s="196"/>
      <c r="S59" s="195"/>
      <c r="T59" s="195"/>
      <c r="U59" s="195"/>
      <c r="V59" s="196"/>
      <c r="W59" s="195"/>
      <c r="X59" s="195"/>
      <c r="Y59" s="195"/>
      <c r="Z59" s="195"/>
      <c r="AA59" s="195"/>
    </row>
    <row r="60" spans="2:27" s="128" customFormat="1" ht="16.5" customHeight="1">
      <c r="B60" s="788" t="s">
        <v>865</v>
      </c>
      <c r="C60" s="789">
        <f>SUM(F62:F68)</f>
        <v>7463.4</v>
      </c>
      <c r="D60" s="802" t="s">
        <v>986</v>
      </c>
      <c r="E60" s="530" t="s">
        <v>955</v>
      </c>
      <c r="F60" s="236"/>
      <c r="G60" s="237"/>
      <c r="H60" s="195"/>
      <c r="J60" s="183"/>
      <c r="L60" s="182"/>
      <c r="M60" s="195"/>
      <c r="N60" s="196"/>
      <c r="O60" s="238"/>
      <c r="P60" s="196"/>
      <c r="Q60" s="196"/>
      <c r="R60" s="196"/>
      <c r="S60" s="195"/>
      <c r="T60" s="195"/>
      <c r="U60" s="195"/>
      <c r="V60" s="196"/>
      <c r="W60" s="195"/>
      <c r="X60" s="195"/>
      <c r="Y60" s="195"/>
      <c r="Z60" s="195"/>
      <c r="AA60" s="195"/>
    </row>
    <row r="61" spans="2:32" s="241" customFormat="1" ht="16.5" customHeight="1">
      <c r="B61" s="788" t="s">
        <v>708</v>
      </c>
      <c r="C61" s="870">
        <f>'Weight sheet'!H10+('Weight sheet'!F15*'Weight sheet'!H15)++('Weight sheet'!F16*'Weight sheet'!H16)+('Weight sheet'!F17*'Weight sheet'!H17)+('Weight sheet'!F18*'Weight sheet'!H18)</f>
        <v>7468.2</v>
      </c>
      <c r="D61" s="811" t="s">
        <v>986</v>
      </c>
      <c r="E61" s="531">
        <f>C61-C60</f>
        <v>4.800000000000182</v>
      </c>
      <c r="I61" s="242"/>
      <c r="O61" s="243"/>
      <c r="S61" s="244"/>
      <c r="T61" s="245"/>
      <c r="U61" s="514" t="s">
        <v>244</v>
      </c>
      <c r="V61" s="204"/>
      <c r="W61" s="246"/>
      <c r="X61" s="247"/>
      <c r="Y61" s="248"/>
      <c r="Z61" s="249"/>
      <c r="AA61" s="204"/>
      <c r="AB61" s="246"/>
      <c r="AC61" s="250"/>
      <c r="AD61" s="208"/>
      <c r="AE61" s="132"/>
      <c r="AF61" s="208"/>
    </row>
    <row r="62" spans="1:22" s="252" customFormat="1" ht="16.5" customHeight="1">
      <c r="A62" s="804" t="s">
        <v>866</v>
      </c>
      <c r="B62" s="762">
        <f>'Weight sheet'!C12</f>
        <v>4199347</v>
      </c>
      <c r="C62" s="762">
        <f>'Weight sheet'!D12</f>
        <v>49897</v>
      </c>
      <c r="D62" s="869">
        <f>'Weight sheet'!F12</f>
        <v>1</v>
      </c>
      <c r="E62" s="869">
        <f>'Weight sheet'!H12</f>
        <v>5264</v>
      </c>
      <c r="F62" s="208">
        <f aca="true" t="shared" si="1" ref="F62:F68">E62*D62</f>
        <v>5264</v>
      </c>
      <c r="G62" s="251">
        <v>28.22</v>
      </c>
      <c r="H62" s="208">
        <f aca="true" t="shared" si="2" ref="H62:H68">G62*2.54</f>
        <v>71.6788</v>
      </c>
      <c r="I62" s="132">
        <f aca="true" t="shared" si="3" ref="I62:I68">F62*H62</f>
        <v>377317.2032</v>
      </c>
      <c r="J62" s="226">
        <f>E62/Fiberglass_Density</f>
        <v>3463.576881349665</v>
      </c>
      <c r="K62" s="132">
        <f aca="true" t="shared" si="4" ref="K62:K68">J62*D62</f>
        <v>3463.576881349665</v>
      </c>
      <c r="L62" s="227">
        <f aca="true" t="shared" si="5" ref="L62:L68">G62</f>
        <v>28.22</v>
      </c>
      <c r="M62" s="208">
        <f aca="true" t="shared" si="6" ref="M62:M68">L62*2.54</f>
        <v>71.6788</v>
      </c>
      <c r="N62" s="132">
        <f aca="true" t="shared" si="7" ref="N62:N68">K62*M62</f>
        <v>248265.03456288637</v>
      </c>
      <c r="O62" s="210">
        <v>0</v>
      </c>
      <c r="P62" s="208">
        <f aca="true" t="shared" si="8" ref="P62:P68">O62*2.54</f>
        <v>0</v>
      </c>
      <c r="Q62" s="132">
        <f>E62*P62</f>
        <v>0</v>
      </c>
      <c r="R62" s="208">
        <f aca="true" t="shared" si="9" ref="R62:R68">K62*P62</f>
        <v>0</v>
      </c>
      <c r="S62" s="109"/>
      <c r="V62" s="253"/>
    </row>
    <row r="63" spans="1:22" s="252" customFormat="1" ht="33" customHeight="1">
      <c r="A63" s="805" t="s">
        <v>873</v>
      </c>
      <c r="B63" s="762">
        <f>'Weight sheet'!C13</f>
        <v>4199330</v>
      </c>
      <c r="C63" s="762">
        <f>'Weight sheet'!D13</f>
        <v>49834</v>
      </c>
      <c r="D63" s="869">
        <f>'Weight sheet'!F13</f>
        <v>1</v>
      </c>
      <c r="E63" s="869">
        <f>'Weight sheet'!H13</f>
        <v>688</v>
      </c>
      <c r="F63" s="208">
        <f t="shared" si="1"/>
        <v>688</v>
      </c>
      <c r="G63" s="225">
        <v>45.85</v>
      </c>
      <c r="H63" s="208">
        <f t="shared" si="2"/>
        <v>116.459</v>
      </c>
      <c r="I63" s="132">
        <f t="shared" si="3"/>
        <v>80123.792</v>
      </c>
      <c r="J63" s="226">
        <f>E63/Alum_density</f>
        <v>253.59380759307038</v>
      </c>
      <c r="K63" s="132">
        <f t="shared" si="4"/>
        <v>253.59380759307038</v>
      </c>
      <c r="L63" s="227">
        <f t="shared" si="5"/>
        <v>45.85</v>
      </c>
      <c r="M63" s="208">
        <f t="shared" si="6"/>
        <v>116.459</v>
      </c>
      <c r="N63" s="132">
        <f t="shared" si="7"/>
        <v>29533.281238481384</v>
      </c>
      <c r="O63" s="210">
        <v>0</v>
      </c>
      <c r="P63" s="208">
        <f t="shared" si="8"/>
        <v>0</v>
      </c>
      <c r="Q63" s="132">
        <f aca="true" t="shared" si="10" ref="Q63:Q68">F63*P63</f>
        <v>0</v>
      </c>
      <c r="R63" s="208">
        <f t="shared" si="9"/>
        <v>0</v>
      </c>
      <c r="V63" s="253"/>
    </row>
    <row r="64" spans="1:27" s="255" customFormat="1" ht="16.5" customHeight="1">
      <c r="A64" s="806" t="s">
        <v>874</v>
      </c>
      <c r="B64" s="762">
        <f>'Weight sheet'!C14</f>
        <v>4199334</v>
      </c>
      <c r="C64" s="762">
        <f>'Weight sheet'!D14</f>
        <v>49844</v>
      </c>
      <c r="D64" s="869">
        <f>'Weight sheet'!F14</f>
        <v>1</v>
      </c>
      <c r="E64" s="869">
        <f>'Weight sheet'!H14</f>
        <v>1248.2</v>
      </c>
      <c r="F64" s="208">
        <f t="shared" si="1"/>
        <v>1248.2</v>
      </c>
      <c r="G64" s="225">
        <v>3.715</v>
      </c>
      <c r="H64" s="208">
        <f t="shared" si="2"/>
        <v>9.4361</v>
      </c>
      <c r="I64" s="132">
        <f t="shared" si="3"/>
        <v>11778.14002</v>
      </c>
      <c r="J64" s="226">
        <f>E64/Brass_Density</f>
        <v>148.33036244800954</v>
      </c>
      <c r="K64" s="132">
        <f t="shared" si="4"/>
        <v>148.33036244800954</v>
      </c>
      <c r="L64" s="227">
        <f t="shared" si="5"/>
        <v>3.715</v>
      </c>
      <c r="M64" s="227">
        <f t="shared" si="6"/>
        <v>9.4361</v>
      </c>
      <c r="N64" s="132">
        <f t="shared" si="7"/>
        <v>1399.6601330956628</v>
      </c>
      <c r="O64" s="210">
        <v>0</v>
      </c>
      <c r="P64" s="208">
        <f t="shared" si="8"/>
        <v>0</v>
      </c>
      <c r="Q64" s="132">
        <f t="shared" si="10"/>
        <v>0</v>
      </c>
      <c r="R64" s="208">
        <f t="shared" si="9"/>
        <v>0</v>
      </c>
      <c r="S64" s="109"/>
      <c r="T64" s="109"/>
      <c r="U64" s="109"/>
      <c r="V64" s="132"/>
      <c r="W64" s="109"/>
      <c r="X64" s="109"/>
      <c r="Y64" s="109"/>
      <c r="Z64" s="109"/>
      <c r="AA64" s="109"/>
    </row>
    <row r="65" spans="1:27" s="255" customFormat="1" ht="16.5" customHeight="1">
      <c r="A65" s="807" t="s">
        <v>875</v>
      </c>
      <c r="B65" s="762">
        <f>'Weight sheet'!C15</f>
        <v>4199426</v>
      </c>
      <c r="C65" s="762">
        <f>'Weight sheet'!D15</f>
        <v>55448</v>
      </c>
      <c r="D65" s="871">
        <v>1</v>
      </c>
      <c r="E65" s="869">
        <f>'Weight sheet'!H15</f>
        <v>247.5</v>
      </c>
      <c r="F65" s="208">
        <f t="shared" si="1"/>
        <v>247.5</v>
      </c>
      <c r="G65" s="225">
        <v>3.715</v>
      </c>
      <c r="H65" s="208">
        <f t="shared" si="2"/>
        <v>9.4361</v>
      </c>
      <c r="I65" s="132">
        <f t="shared" si="3"/>
        <v>2335.43475</v>
      </c>
      <c r="J65" s="226">
        <f>E65/Brass_Density</f>
        <v>29.411764705882355</v>
      </c>
      <c r="K65" s="132">
        <f t="shared" si="4"/>
        <v>29.411764705882355</v>
      </c>
      <c r="L65" s="227">
        <f t="shared" si="5"/>
        <v>3.715</v>
      </c>
      <c r="M65" s="227">
        <f t="shared" si="6"/>
        <v>9.4361</v>
      </c>
      <c r="N65" s="132">
        <f t="shared" si="7"/>
        <v>277.5323529411765</v>
      </c>
      <c r="O65" s="210">
        <v>0</v>
      </c>
      <c r="P65" s="208">
        <f t="shared" si="8"/>
        <v>0</v>
      </c>
      <c r="Q65" s="132">
        <f t="shared" si="10"/>
        <v>0</v>
      </c>
      <c r="R65" s="208">
        <f t="shared" si="9"/>
        <v>0</v>
      </c>
      <c r="S65" s="109"/>
      <c r="T65" s="109"/>
      <c r="U65" s="109"/>
      <c r="V65" s="132"/>
      <c r="W65" s="109"/>
      <c r="X65" s="109"/>
      <c r="Y65" s="109"/>
      <c r="Z65" s="109"/>
      <c r="AA65" s="109"/>
    </row>
    <row r="66" spans="1:22" s="252" customFormat="1" ht="34.5" customHeight="1">
      <c r="A66" s="808" t="s">
        <v>876</v>
      </c>
      <c r="B66" s="762" t="str">
        <f>'Weight sheet'!C16</f>
        <v>/4199135</v>
      </c>
      <c r="C66" s="762" t="str">
        <f>'Weight sheet'!D16</f>
        <v>55186 / 55253</v>
      </c>
      <c r="D66" s="871">
        <v>0</v>
      </c>
      <c r="E66" s="869">
        <f>IF('Weight sheet'!H16=0,'Weight sheet'!G16,'Weight sheet'!H16)</f>
        <v>28.3</v>
      </c>
      <c r="F66" s="208">
        <f t="shared" si="1"/>
        <v>0</v>
      </c>
      <c r="G66" s="225">
        <v>3.715</v>
      </c>
      <c r="H66" s="208">
        <f t="shared" si="2"/>
        <v>9.4361</v>
      </c>
      <c r="I66" s="132">
        <f t="shared" si="3"/>
        <v>0</v>
      </c>
      <c r="J66" s="226">
        <f>E66/Brass_Density</f>
        <v>3.3630421865715987</v>
      </c>
      <c r="K66" s="132">
        <f t="shared" si="4"/>
        <v>0</v>
      </c>
      <c r="L66" s="227">
        <f t="shared" si="5"/>
        <v>3.715</v>
      </c>
      <c r="M66" s="208">
        <f t="shared" si="6"/>
        <v>9.4361</v>
      </c>
      <c r="N66" s="132">
        <f t="shared" si="7"/>
        <v>0</v>
      </c>
      <c r="O66" s="210">
        <v>0</v>
      </c>
      <c r="P66" s="208">
        <f t="shared" si="8"/>
        <v>0</v>
      </c>
      <c r="Q66" s="132">
        <f t="shared" si="10"/>
        <v>0</v>
      </c>
      <c r="R66" s="208">
        <f t="shared" si="9"/>
        <v>0</v>
      </c>
      <c r="V66" s="253"/>
    </row>
    <row r="67" spans="1:22" s="252" customFormat="1" ht="34.5" customHeight="1">
      <c r="A67" s="808" t="s">
        <v>878</v>
      </c>
      <c r="B67" s="762" t="str">
        <f>'Weight sheet'!C17</f>
        <v>4199112 / 4199135</v>
      </c>
      <c r="C67" s="762" t="str">
        <f>'Weight sheet'!D17</f>
        <v>55185 / 55253</v>
      </c>
      <c r="D67" s="871">
        <v>0</v>
      </c>
      <c r="E67" s="869">
        <f>IF('Weight sheet'!H17=0,'Weight sheet'!G17,'Weight sheet'!H17)</f>
        <v>23.2</v>
      </c>
      <c r="F67" s="208">
        <f t="shared" si="1"/>
        <v>0</v>
      </c>
      <c r="G67" s="225">
        <v>3.715</v>
      </c>
      <c r="H67" s="208">
        <f t="shared" si="2"/>
        <v>9.4361</v>
      </c>
      <c r="I67" s="132">
        <f t="shared" si="3"/>
        <v>0</v>
      </c>
      <c r="J67" s="226">
        <f>E67/Brass_Density</f>
        <v>2.7569815805109923</v>
      </c>
      <c r="K67" s="132">
        <f t="shared" si="4"/>
        <v>0</v>
      </c>
      <c r="L67" s="227">
        <f t="shared" si="5"/>
        <v>3.715</v>
      </c>
      <c r="M67" s="208">
        <f t="shared" si="6"/>
        <v>9.4361</v>
      </c>
      <c r="N67" s="132">
        <f t="shared" si="7"/>
        <v>0</v>
      </c>
      <c r="O67" s="210">
        <v>0</v>
      </c>
      <c r="P67" s="208">
        <f t="shared" si="8"/>
        <v>0</v>
      </c>
      <c r="Q67" s="132">
        <f t="shared" si="10"/>
        <v>0</v>
      </c>
      <c r="R67" s="208">
        <f t="shared" si="9"/>
        <v>0</v>
      </c>
      <c r="V67" s="253"/>
    </row>
    <row r="68" spans="1:22" s="252" customFormat="1" ht="34.5" customHeight="1">
      <c r="A68" s="808" t="s">
        <v>736</v>
      </c>
      <c r="B68" s="762" t="str">
        <f>'Weight sheet'!C18</f>
        <v>/4199135</v>
      </c>
      <c r="C68" s="762" t="str">
        <f>'Weight sheet'!D18</f>
        <v>55473 / 55253</v>
      </c>
      <c r="D68" s="871">
        <v>1</v>
      </c>
      <c r="E68" s="869">
        <f>IF('Weight sheet'!H18=0,'Weight sheet'!G18,'Weight sheet'!H18)</f>
        <v>15.7</v>
      </c>
      <c r="F68" s="204">
        <f t="shared" si="1"/>
        <v>15.7</v>
      </c>
      <c r="G68" s="250">
        <v>3.715</v>
      </c>
      <c r="H68" s="204">
        <f t="shared" si="2"/>
        <v>9.4361</v>
      </c>
      <c r="I68" s="256">
        <f t="shared" si="3"/>
        <v>148.14676999999998</v>
      </c>
      <c r="J68" s="226">
        <f>E68/Brass_Density</f>
        <v>1.8657159833630423</v>
      </c>
      <c r="K68" s="246">
        <f t="shared" si="4"/>
        <v>1.8657159833630423</v>
      </c>
      <c r="L68" s="123">
        <f t="shared" si="5"/>
        <v>3.715</v>
      </c>
      <c r="M68" s="204">
        <f t="shared" si="6"/>
        <v>9.4361</v>
      </c>
      <c r="N68" s="256">
        <f t="shared" si="7"/>
        <v>17.605082590612003</v>
      </c>
      <c r="O68" s="250">
        <v>0</v>
      </c>
      <c r="P68" s="204">
        <f t="shared" si="8"/>
        <v>0</v>
      </c>
      <c r="Q68" s="246">
        <f t="shared" si="10"/>
        <v>0</v>
      </c>
      <c r="R68" s="204">
        <f t="shared" si="9"/>
        <v>0</v>
      </c>
      <c r="V68" s="253"/>
    </row>
    <row r="69" spans="1:22" s="252" customFormat="1" ht="16.5" customHeight="1" thickBot="1">
      <c r="A69" s="257"/>
      <c r="B69" s="257"/>
      <c r="C69" s="546"/>
      <c r="D69" s="534"/>
      <c r="E69" s="547"/>
      <c r="F69" s="258"/>
      <c r="G69" s="259"/>
      <c r="H69" s="258"/>
      <c r="I69" s="260"/>
      <c r="J69" s="261"/>
      <c r="K69" s="260"/>
      <c r="L69" s="262"/>
      <c r="M69" s="258"/>
      <c r="N69" s="260"/>
      <c r="O69" s="263"/>
      <c r="P69" s="258"/>
      <c r="Q69" s="260"/>
      <c r="R69" s="258"/>
      <c r="V69" s="253"/>
    </row>
    <row r="70" spans="1:22" s="252" customFormat="1" ht="16.5" customHeight="1" thickTop="1">
      <c r="A70" s="264" t="s">
        <v>738</v>
      </c>
      <c r="B70" s="264"/>
      <c r="C70" s="544"/>
      <c r="D70" s="532"/>
      <c r="E70" s="533"/>
      <c r="F70" s="208"/>
      <c r="G70" s="225"/>
      <c r="H70" s="208"/>
      <c r="I70" s="132"/>
      <c r="J70" s="226"/>
      <c r="K70" s="132"/>
      <c r="L70" s="227"/>
      <c r="M70" s="208"/>
      <c r="N70" s="132"/>
      <c r="O70" s="210"/>
      <c r="P70" s="208"/>
      <c r="Q70" s="132"/>
      <c r="R70" s="208"/>
      <c r="V70" s="253"/>
    </row>
    <row r="71" spans="1:22" s="252" customFormat="1" ht="16.5" customHeight="1">
      <c r="A71" s="6"/>
      <c r="B71" s="788" t="s">
        <v>865</v>
      </c>
      <c r="C71" s="789">
        <f>SUM(F73:F86)</f>
        <v>851.4000000000001</v>
      </c>
      <c r="D71" s="802" t="s">
        <v>986</v>
      </c>
      <c r="E71" s="530" t="s">
        <v>955</v>
      </c>
      <c r="G71" s="250"/>
      <c r="H71" s="204"/>
      <c r="I71" s="246"/>
      <c r="J71" s="226"/>
      <c r="K71" s="246"/>
      <c r="L71" s="123"/>
      <c r="M71" s="204"/>
      <c r="N71" s="246"/>
      <c r="O71" s="210"/>
      <c r="P71" s="204"/>
      <c r="Q71" s="246"/>
      <c r="R71" s="204"/>
      <c r="V71" s="253"/>
    </row>
    <row r="72" spans="1:22" s="252" customFormat="1" ht="16.5" customHeight="1">
      <c r="A72" s="134"/>
      <c r="B72" s="809" t="s">
        <v>708</v>
      </c>
      <c r="C72" s="810">
        <f>SUM(F73:F86)</f>
        <v>851.4000000000001</v>
      </c>
      <c r="D72" s="811" t="s">
        <v>986</v>
      </c>
      <c r="E72" s="531">
        <f>C72-C71</f>
        <v>0</v>
      </c>
      <c r="F72" s="204"/>
      <c r="G72" s="250"/>
      <c r="H72" s="204"/>
      <c r="I72" s="246"/>
      <c r="J72" s="226"/>
      <c r="K72" s="246"/>
      <c r="L72" s="123"/>
      <c r="M72" s="204"/>
      <c r="N72" s="246"/>
      <c r="O72" s="210"/>
      <c r="P72" s="204"/>
      <c r="Q72" s="246"/>
      <c r="R72" s="204"/>
      <c r="V72" s="253"/>
    </row>
    <row r="73" spans="1:27" s="255" customFormat="1" ht="16.5" customHeight="1">
      <c r="A73" s="807" t="s">
        <v>739</v>
      </c>
      <c r="B73" s="807"/>
      <c r="C73" s="812"/>
      <c r="D73" s="813">
        <v>1</v>
      </c>
      <c r="E73" s="814">
        <v>718.2</v>
      </c>
      <c r="F73" s="208">
        <f aca="true" t="shared" si="11" ref="F73:F86">E73*D73</f>
        <v>718.2</v>
      </c>
      <c r="G73" s="250">
        <v>42.077</v>
      </c>
      <c r="H73" s="204">
        <f aca="true" t="shared" si="12" ref="H73:H86">G73*2.54</f>
        <v>106.87558</v>
      </c>
      <c r="I73" s="246">
        <f aca="true" t="shared" si="13" ref="I73:I86">F73*H73</f>
        <v>76758.04155600001</v>
      </c>
      <c r="J73" s="226">
        <f>E73/Lead_Density</f>
        <v>63.5800283286119</v>
      </c>
      <c r="K73" s="246">
        <f aca="true" t="shared" si="14" ref="K73:K86">J73*D73</f>
        <v>63.5800283286119</v>
      </c>
      <c r="L73" s="265">
        <f aca="true" t="shared" si="15" ref="L73:L86">G73</f>
        <v>42.077</v>
      </c>
      <c r="M73" s="123">
        <f aca="true" t="shared" si="16" ref="M73:M86">L73*2.54</f>
        <v>106.87558</v>
      </c>
      <c r="N73" s="246">
        <f aca="true" t="shared" si="17" ref="N73:N86">K73*M73</f>
        <v>6795.152404036828</v>
      </c>
      <c r="O73" s="210">
        <v>-5.16</v>
      </c>
      <c r="P73" s="204">
        <f aca="true" t="shared" si="18" ref="P73:P86">O73*2.54</f>
        <v>-13.1064</v>
      </c>
      <c r="Q73" s="246">
        <f aca="true" t="shared" si="19" ref="Q73:Q86">F73*P73</f>
        <v>-9413.01648</v>
      </c>
      <c r="R73" s="208">
        <f aca="true" t="shared" si="20" ref="R73:R86">K73*P73</f>
        <v>-833.3052832861191</v>
      </c>
      <c r="S73" s="112"/>
      <c r="T73" s="514" t="s">
        <v>245</v>
      </c>
      <c r="U73" s="109"/>
      <c r="V73" s="132"/>
      <c r="W73" s="109"/>
      <c r="X73" s="109"/>
      <c r="Y73" s="109"/>
      <c r="Z73" s="109"/>
      <c r="AA73" s="109"/>
    </row>
    <row r="74" spans="1:27" s="255" customFormat="1" ht="16.5" customHeight="1">
      <c r="A74" s="807" t="s">
        <v>740</v>
      </c>
      <c r="B74" s="807"/>
      <c r="C74" s="812" t="s">
        <v>741</v>
      </c>
      <c r="D74" s="869">
        <f>'Weight sheet'!F27</f>
        <v>1</v>
      </c>
      <c r="E74" s="869">
        <f>'Weight sheet'!H27</f>
        <v>103.2</v>
      </c>
      <c r="F74" s="204">
        <f t="shared" si="11"/>
        <v>103.2</v>
      </c>
      <c r="G74" s="250">
        <v>42.077</v>
      </c>
      <c r="H74" s="204">
        <f t="shared" si="12"/>
        <v>106.87558</v>
      </c>
      <c r="I74" s="246">
        <f t="shared" si="13"/>
        <v>11029.559856</v>
      </c>
      <c r="J74" s="226">
        <f>F74/Material!B9</f>
        <v>14.535211267605636</v>
      </c>
      <c r="K74" s="246">
        <f t="shared" si="14"/>
        <v>14.535211267605636</v>
      </c>
      <c r="L74" s="265">
        <f t="shared" si="15"/>
        <v>42.077</v>
      </c>
      <c r="M74" s="123">
        <f t="shared" si="16"/>
        <v>106.87558</v>
      </c>
      <c r="N74" s="246">
        <f t="shared" si="17"/>
        <v>1553.4591346478876</v>
      </c>
      <c r="O74" s="210">
        <v>-5</v>
      </c>
      <c r="P74" s="204">
        <f t="shared" si="18"/>
        <v>-12.7</v>
      </c>
      <c r="Q74" s="246">
        <f t="shared" si="19"/>
        <v>-1310.6399999999999</v>
      </c>
      <c r="R74" s="208">
        <f t="shared" si="20"/>
        <v>-184.59718309859156</v>
      </c>
      <c r="S74" s="112"/>
      <c r="T74" s="112"/>
      <c r="U74" s="109"/>
      <c r="V74" s="132"/>
      <c r="W74" s="109"/>
      <c r="X74" s="109"/>
      <c r="Y74" s="109"/>
      <c r="Z74" s="109"/>
      <c r="AA74" s="109"/>
    </row>
    <row r="75" spans="1:27" s="255" customFormat="1" ht="16.5" customHeight="1">
      <c r="A75" s="807" t="s">
        <v>742</v>
      </c>
      <c r="B75" s="807"/>
      <c r="C75" s="812"/>
      <c r="D75" s="813">
        <v>1</v>
      </c>
      <c r="E75" s="815">
        <v>0</v>
      </c>
      <c r="F75" s="204">
        <f t="shared" si="11"/>
        <v>0</v>
      </c>
      <c r="G75" s="250">
        <v>42.077</v>
      </c>
      <c r="H75" s="204">
        <f t="shared" si="12"/>
        <v>106.87558</v>
      </c>
      <c r="I75" s="246">
        <f t="shared" si="13"/>
        <v>0</v>
      </c>
      <c r="J75" s="226">
        <f>E75/Lead_Density</f>
        <v>0</v>
      </c>
      <c r="K75" s="246">
        <f t="shared" si="14"/>
        <v>0</v>
      </c>
      <c r="L75" s="265">
        <f t="shared" si="15"/>
        <v>42.077</v>
      </c>
      <c r="M75" s="123">
        <f t="shared" si="16"/>
        <v>106.87558</v>
      </c>
      <c r="N75" s="246">
        <f t="shared" si="17"/>
        <v>0</v>
      </c>
      <c r="O75" s="210">
        <v>0</v>
      </c>
      <c r="P75" s="204">
        <f t="shared" si="18"/>
        <v>0</v>
      </c>
      <c r="Q75" s="246">
        <f t="shared" si="19"/>
        <v>0</v>
      </c>
      <c r="R75" s="208">
        <f t="shared" si="20"/>
        <v>0</v>
      </c>
      <c r="S75" s="112"/>
      <c r="T75" s="112"/>
      <c r="U75" s="109"/>
      <c r="V75" s="132"/>
      <c r="W75" s="109"/>
      <c r="X75" s="109"/>
      <c r="Y75" s="109"/>
      <c r="Z75" s="109"/>
      <c r="AA75" s="109"/>
    </row>
    <row r="76" spans="1:27" s="255" customFormat="1" ht="16.5" customHeight="1">
      <c r="A76" s="807" t="s">
        <v>743</v>
      </c>
      <c r="B76" s="807"/>
      <c r="C76" s="812" t="s">
        <v>741</v>
      </c>
      <c r="D76" s="813">
        <v>1</v>
      </c>
      <c r="E76" s="815">
        <v>0</v>
      </c>
      <c r="F76" s="204">
        <f t="shared" si="11"/>
        <v>0</v>
      </c>
      <c r="G76" s="250">
        <v>42.077</v>
      </c>
      <c r="H76" s="204">
        <f t="shared" si="12"/>
        <v>106.87558</v>
      </c>
      <c r="I76" s="246">
        <f t="shared" si="13"/>
        <v>0</v>
      </c>
      <c r="J76" s="226">
        <f>F76/Material!B11</f>
        <v>0</v>
      </c>
      <c r="K76" s="246">
        <f t="shared" si="14"/>
        <v>0</v>
      </c>
      <c r="L76" s="265">
        <f t="shared" si="15"/>
        <v>42.077</v>
      </c>
      <c r="M76" s="123">
        <f t="shared" si="16"/>
        <v>106.87558</v>
      </c>
      <c r="N76" s="246">
        <f t="shared" si="17"/>
        <v>0</v>
      </c>
      <c r="O76" s="210">
        <v>0</v>
      </c>
      <c r="P76" s="204">
        <f t="shared" si="18"/>
        <v>0</v>
      </c>
      <c r="Q76" s="246">
        <f t="shared" si="19"/>
        <v>0</v>
      </c>
      <c r="R76" s="208">
        <f t="shared" si="20"/>
        <v>0</v>
      </c>
      <c r="S76" s="112"/>
      <c r="T76" s="112"/>
      <c r="U76" s="109"/>
      <c r="V76" s="132"/>
      <c r="W76" s="109"/>
      <c r="X76" s="109"/>
      <c r="Y76" s="109"/>
      <c r="Z76" s="109"/>
      <c r="AA76" s="109"/>
    </row>
    <row r="77" spans="1:27" s="255" customFormat="1" ht="16.5" customHeight="1">
      <c r="A77" s="807" t="s">
        <v>744</v>
      </c>
      <c r="B77" s="807"/>
      <c r="C77" s="812"/>
      <c r="D77" s="813">
        <v>1</v>
      </c>
      <c r="E77" s="815">
        <v>0</v>
      </c>
      <c r="F77" s="204">
        <f t="shared" si="11"/>
        <v>0</v>
      </c>
      <c r="G77" s="250">
        <v>42.077</v>
      </c>
      <c r="H77" s="204">
        <f t="shared" si="12"/>
        <v>106.87558</v>
      </c>
      <c r="I77" s="246">
        <f t="shared" si="13"/>
        <v>0</v>
      </c>
      <c r="J77" s="226">
        <f>E77/Lead_Density</f>
        <v>0</v>
      </c>
      <c r="K77" s="246">
        <f t="shared" si="14"/>
        <v>0</v>
      </c>
      <c r="L77" s="265">
        <f t="shared" si="15"/>
        <v>42.077</v>
      </c>
      <c r="M77" s="123">
        <f t="shared" si="16"/>
        <v>106.87558</v>
      </c>
      <c r="N77" s="246">
        <f t="shared" si="17"/>
        <v>0</v>
      </c>
      <c r="O77" s="210">
        <v>0</v>
      </c>
      <c r="P77" s="204">
        <f t="shared" si="18"/>
        <v>0</v>
      </c>
      <c r="Q77" s="246">
        <f t="shared" si="19"/>
        <v>0</v>
      </c>
      <c r="R77" s="208">
        <f t="shared" si="20"/>
        <v>0</v>
      </c>
      <c r="S77" s="112"/>
      <c r="T77" s="112"/>
      <c r="U77" s="109"/>
      <c r="V77" s="132"/>
      <c r="W77" s="109"/>
      <c r="X77" s="109"/>
      <c r="Y77" s="109"/>
      <c r="Z77" s="109"/>
      <c r="AA77" s="109"/>
    </row>
    <row r="78" spans="1:27" s="255" customFormat="1" ht="16.5" customHeight="1">
      <c r="A78" s="807" t="s">
        <v>636</v>
      </c>
      <c r="B78" s="807"/>
      <c r="C78" s="812" t="s">
        <v>741</v>
      </c>
      <c r="D78" s="813">
        <v>1</v>
      </c>
      <c r="E78" s="815">
        <v>0</v>
      </c>
      <c r="F78" s="204">
        <f t="shared" si="11"/>
        <v>0</v>
      </c>
      <c r="G78" s="250">
        <v>42.077</v>
      </c>
      <c r="H78" s="204">
        <f t="shared" si="12"/>
        <v>106.87558</v>
      </c>
      <c r="I78" s="246">
        <f t="shared" si="13"/>
        <v>0</v>
      </c>
      <c r="J78" s="226">
        <f>F78/Material!B13</f>
        <v>0</v>
      </c>
      <c r="K78" s="246">
        <f t="shared" si="14"/>
        <v>0</v>
      </c>
      <c r="L78" s="265">
        <f t="shared" si="15"/>
        <v>42.077</v>
      </c>
      <c r="M78" s="123">
        <f t="shared" si="16"/>
        <v>106.87558</v>
      </c>
      <c r="N78" s="246">
        <f t="shared" si="17"/>
        <v>0</v>
      </c>
      <c r="O78" s="210">
        <v>0</v>
      </c>
      <c r="P78" s="204">
        <f t="shared" si="18"/>
        <v>0</v>
      </c>
      <c r="Q78" s="246">
        <f t="shared" si="19"/>
        <v>0</v>
      </c>
      <c r="R78" s="208">
        <f t="shared" si="20"/>
        <v>0</v>
      </c>
      <c r="S78" s="112"/>
      <c r="T78" s="112"/>
      <c r="U78" s="109"/>
      <c r="V78" s="132"/>
      <c r="W78" s="109"/>
      <c r="X78" s="109"/>
      <c r="Y78" s="109"/>
      <c r="Z78" s="109"/>
      <c r="AA78" s="109"/>
    </row>
    <row r="79" spans="1:27" s="255" customFormat="1" ht="16.5" customHeight="1">
      <c r="A79" s="807" t="s">
        <v>637</v>
      </c>
      <c r="B79" s="807"/>
      <c r="C79" s="812"/>
      <c r="D79" s="813">
        <v>1</v>
      </c>
      <c r="E79" s="815">
        <v>0</v>
      </c>
      <c r="F79" s="204">
        <f t="shared" si="11"/>
        <v>0</v>
      </c>
      <c r="G79" s="250">
        <v>42.077</v>
      </c>
      <c r="H79" s="204">
        <f t="shared" si="12"/>
        <v>106.87558</v>
      </c>
      <c r="I79" s="246">
        <f t="shared" si="13"/>
        <v>0</v>
      </c>
      <c r="J79" s="226">
        <f>E79/Lead_Density</f>
        <v>0</v>
      </c>
      <c r="K79" s="246">
        <f t="shared" si="14"/>
        <v>0</v>
      </c>
      <c r="L79" s="265">
        <f t="shared" si="15"/>
        <v>42.077</v>
      </c>
      <c r="M79" s="123">
        <f t="shared" si="16"/>
        <v>106.87558</v>
      </c>
      <c r="N79" s="246">
        <f t="shared" si="17"/>
        <v>0</v>
      </c>
      <c r="O79" s="210">
        <v>5.1</v>
      </c>
      <c r="P79" s="204">
        <f t="shared" si="18"/>
        <v>12.953999999999999</v>
      </c>
      <c r="Q79" s="246">
        <f t="shared" si="19"/>
        <v>0</v>
      </c>
      <c r="R79" s="208">
        <f t="shared" si="20"/>
        <v>0</v>
      </c>
      <c r="S79" s="112"/>
      <c r="T79" s="112"/>
      <c r="U79" s="109"/>
      <c r="V79" s="132"/>
      <c r="W79" s="109"/>
      <c r="X79" s="109"/>
      <c r="Y79" s="109"/>
      <c r="Z79" s="109"/>
      <c r="AA79" s="109"/>
    </row>
    <row r="80" spans="1:27" s="255" customFormat="1" ht="16.5" customHeight="1">
      <c r="A80" s="807" t="s">
        <v>638</v>
      </c>
      <c r="B80" s="807"/>
      <c r="C80" s="812" t="s">
        <v>741</v>
      </c>
      <c r="D80" s="813">
        <v>1</v>
      </c>
      <c r="E80" s="815">
        <v>0</v>
      </c>
      <c r="F80" s="204">
        <f t="shared" si="11"/>
        <v>0</v>
      </c>
      <c r="G80" s="250">
        <v>42.077</v>
      </c>
      <c r="H80" s="204">
        <f t="shared" si="12"/>
        <v>106.87558</v>
      </c>
      <c r="I80" s="246">
        <f t="shared" si="13"/>
        <v>0</v>
      </c>
      <c r="J80" s="226">
        <f>F80/Material!B15</f>
        <v>0</v>
      </c>
      <c r="K80" s="246">
        <f t="shared" si="14"/>
        <v>0</v>
      </c>
      <c r="L80" s="265">
        <f t="shared" si="15"/>
        <v>42.077</v>
      </c>
      <c r="M80" s="123">
        <f t="shared" si="16"/>
        <v>106.87558</v>
      </c>
      <c r="N80" s="246">
        <f t="shared" si="17"/>
        <v>0</v>
      </c>
      <c r="O80" s="210">
        <v>5</v>
      </c>
      <c r="P80" s="204">
        <f t="shared" si="18"/>
        <v>12.7</v>
      </c>
      <c r="Q80" s="246">
        <f t="shared" si="19"/>
        <v>0</v>
      </c>
      <c r="R80" s="208">
        <f t="shared" si="20"/>
        <v>0</v>
      </c>
      <c r="S80" s="112"/>
      <c r="T80" s="112"/>
      <c r="U80" s="109"/>
      <c r="V80" s="132"/>
      <c r="W80" s="109"/>
      <c r="X80" s="109"/>
      <c r="Y80" s="109"/>
      <c r="Z80" s="109"/>
      <c r="AA80" s="109"/>
    </row>
    <row r="81" spans="1:27" s="255" customFormat="1" ht="16.5" customHeight="1">
      <c r="A81" s="807" t="s">
        <v>639</v>
      </c>
      <c r="B81" s="807"/>
      <c r="C81" s="812"/>
      <c r="D81" s="813">
        <v>2</v>
      </c>
      <c r="E81" s="815">
        <v>0</v>
      </c>
      <c r="F81" s="204">
        <f t="shared" si="11"/>
        <v>0</v>
      </c>
      <c r="G81" s="250">
        <v>42.077</v>
      </c>
      <c r="H81" s="204">
        <f t="shared" si="12"/>
        <v>106.87558</v>
      </c>
      <c r="I81" s="246">
        <f t="shared" si="13"/>
        <v>0</v>
      </c>
      <c r="J81" s="226">
        <f>E81/PVC_Density</f>
        <v>0</v>
      </c>
      <c r="K81" s="246">
        <f t="shared" si="14"/>
        <v>0</v>
      </c>
      <c r="L81" s="265">
        <f t="shared" si="15"/>
        <v>42.077</v>
      </c>
      <c r="M81" s="123">
        <f t="shared" si="16"/>
        <v>106.87558</v>
      </c>
      <c r="N81" s="246">
        <f t="shared" si="17"/>
        <v>0</v>
      </c>
      <c r="O81" s="210">
        <v>5.1</v>
      </c>
      <c r="P81" s="204">
        <f t="shared" si="18"/>
        <v>12.953999999999999</v>
      </c>
      <c r="Q81" s="246">
        <f t="shared" si="19"/>
        <v>0</v>
      </c>
      <c r="R81" s="208">
        <f t="shared" si="20"/>
        <v>0</v>
      </c>
      <c r="S81" s="112"/>
      <c r="T81" s="112"/>
      <c r="U81" s="109"/>
      <c r="V81" s="132"/>
      <c r="W81" s="109"/>
      <c r="X81" s="109"/>
      <c r="Y81" s="109"/>
      <c r="Z81" s="109"/>
      <c r="AA81" s="109"/>
    </row>
    <row r="82" spans="1:27" s="255" customFormat="1" ht="16.5" customHeight="1">
      <c r="A82" s="807" t="s">
        <v>640</v>
      </c>
      <c r="B82" s="807"/>
      <c r="C82" s="812" t="s">
        <v>741</v>
      </c>
      <c r="D82" s="869">
        <f>'Weight sheet'!F28</f>
        <v>1</v>
      </c>
      <c r="E82" s="869">
        <f>'Weight sheet'!H28</f>
        <v>30</v>
      </c>
      <c r="F82" s="204">
        <f t="shared" si="11"/>
        <v>30</v>
      </c>
      <c r="G82" s="250">
        <v>42.077</v>
      </c>
      <c r="H82" s="204">
        <f t="shared" si="12"/>
        <v>106.87558</v>
      </c>
      <c r="I82" s="246">
        <f t="shared" si="13"/>
        <v>3206.2674</v>
      </c>
      <c r="J82" s="226">
        <f>F82/Material!B15</f>
        <v>26.064291920069504</v>
      </c>
      <c r="K82" s="246">
        <f t="shared" si="14"/>
        <v>26.064291920069504</v>
      </c>
      <c r="L82" s="265">
        <f t="shared" si="15"/>
        <v>42.077</v>
      </c>
      <c r="M82" s="123">
        <f t="shared" si="16"/>
        <v>106.87558</v>
      </c>
      <c r="N82" s="246">
        <f t="shared" si="17"/>
        <v>2785.636316246742</v>
      </c>
      <c r="O82" s="210">
        <v>0</v>
      </c>
      <c r="P82" s="204">
        <f t="shared" si="18"/>
        <v>0</v>
      </c>
      <c r="Q82" s="246">
        <f t="shared" si="19"/>
        <v>0</v>
      </c>
      <c r="R82" s="208">
        <f t="shared" si="20"/>
        <v>0</v>
      </c>
      <c r="T82" s="112"/>
      <c r="U82" s="109"/>
      <c r="V82" s="132"/>
      <c r="W82" s="109"/>
      <c r="X82" s="109"/>
      <c r="Y82" s="109"/>
      <c r="Z82" s="109"/>
      <c r="AA82" s="109"/>
    </row>
    <row r="83" spans="1:256" ht="15">
      <c r="A83" s="807" t="s">
        <v>534</v>
      </c>
      <c r="B83" s="807"/>
      <c r="C83" s="812"/>
      <c r="D83" s="813">
        <v>1</v>
      </c>
      <c r="E83" s="815">
        <v>0</v>
      </c>
      <c r="F83" s="204">
        <f t="shared" si="11"/>
        <v>0</v>
      </c>
      <c r="G83" s="250">
        <v>22.45</v>
      </c>
      <c r="H83" s="204">
        <f t="shared" si="12"/>
        <v>57.022999999999996</v>
      </c>
      <c r="I83" s="246">
        <f t="shared" si="13"/>
        <v>0</v>
      </c>
      <c r="J83" s="226">
        <f>E83/Lead_Density</f>
        <v>0</v>
      </c>
      <c r="K83" s="246">
        <f t="shared" si="14"/>
        <v>0</v>
      </c>
      <c r="L83" s="265">
        <f t="shared" si="15"/>
        <v>22.45</v>
      </c>
      <c r="M83" s="123">
        <f t="shared" si="16"/>
        <v>57.022999999999996</v>
      </c>
      <c r="N83" s="246">
        <f t="shared" si="17"/>
        <v>0</v>
      </c>
      <c r="O83" s="210">
        <v>4.035</v>
      </c>
      <c r="P83" s="204">
        <f t="shared" si="18"/>
        <v>10.2489</v>
      </c>
      <c r="Q83" s="246">
        <f t="shared" si="19"/>
        <v>0</v>
      </c>
      <c r="R83" s="208">
        <f t="shared" si="20"/>
        <v>0</v>
      </c>
      <c r="S83"/>
      <c r="T83"/>
      <c r="U83"/>
      <c r="V83" s="1"/>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7" s="255" customFormat="1" ht="16.5" customHeight="1">
      <c r="A84" s="807" t="s">
        <v>639</v>
      </c>
      <c r="B84" s="807"/>
      <c r="C84" s="812"/>
      <c r="D84" s="813">
        <v>1</v>
      </c>
      <c r="E84" s="815">
        <v>0</v>
      </c>
      <c r="F84" s="204">
        <f t="shared" si="11"/>
        <v>0</v>
      </c>
      <c r="G84" s="250">
        <v>22.45</v>
      </c>
      <c r="H84" s="204">
        <f t="shared" si="12"/>
        <v>57.022999999999996</v>
      </c>
      <c r="I84" s="246">
        <f t="shared" si="13"/>
        <v>0</v>
      </c>
      <c r="J84" s="226">
        <f>E84/PVC_Density</f>
        <v>0</v>
      </c>
      <c r="K84" s="246">
        <f t="shared" si="14"/>
        <v>0</v>
      </c>
      <c r="L84" s="265">
        <f t="shared" si="15"/>
        <v>22.45</v>
      </c>
      <c r="M84" s="123">
        <f t="shared" si="16"/>
        <v>57.022999999999996</v>
      </c>
      <c r="N84" s="246">
        <f t="shared" si="17"/>
        <v>0</v>
      </c>
      <c r="O84" s="210">
        <v>4.035</v>
      </c>
      <c r="P84" s="204">
        <f t="shared" si="18"/>
        <v>10.2489</v>
      </c>
      <c r="Q84" s="246">
        <f t="shared" si="19"/>
        <v>0</v>
      </c>
      <c r="R84" s="208">
        <f t="shared" si="20"/>
        <v>0</v>
      </c>
      <c r="S84" s="112"/>
      <c r="T84" s="112"/>
      <c r="U84" s="109"/>
      <c r="V84" s="132"/>
      <c r="W84" s="109"/>
      <c r="X84" s="109"/>
      <c r="Y84" s="109"/>
      <c r="Z84" s="109"/>
      <c r="AA84" s="109"/>
    </row>
    <row r="85" spans="1:27" s="255" customFormat="1" ht="16.5" customHeight="1">
      <c r="A85" s="807" t="s">
        <v>758</v>
      </c>
      <c r="B85" s="807"/>
      <c r="C85" s="812" t="s">
        <v>741</v>
      </c>
      <c r="D85" s="813">
        <v>1</v>
      </c>
      <c r="E85" s="815">
        <v>0</v>
      </c>
      <c r="F85" s="204">
        <f t="shared" si="11"/>
        <v>0</v>
      </c>
      <c r="G85" s="250">
        <v>22.45</v>
      </c>
      <c r="H85" s="204">
        <f t="shared" si="12"/>
        <v>57.022999999999996</v>
      </c>
      <c r="I85" s="246">
        <f t="shared" si="13"/>
        <v>0</v>
      </c>
      <c r="J85" s="226">
        <f>F85/Material!B14</f>
        <v>0</v>
      </c>
      <c r="K85" s="246">
        <f t="shared" si="14"/>
        <v>0</v>
      </c>
      <c r="L85" s="265">
        <f t="shared" si="15"/>
        <v>22.45</v>
      </c>
      <c r="M85" s="123">
        <f t="shared" si="16"/>
        <v>57.022999999999996</v>
      </c>
      <c r="N85" s="246">
        <f t="shared" si="17"/>
        <v>0</v>
      </c>
      <c r="O85" s="210">
        <v>4</v>
      </c>
      <c r="P85" s="204">
        <f t="shared" si="18"/>
        <v>10.16</v>
      </c>
      <c r="Q85" s="246">
        <f t="shared" si="19"/>
        <v>0</v>
      </c>
      <c r="R85" s="208">
        <f t="shared" si="20"/>
        <v>0</v>
      </c>
      <c r="S85" s="112"/>
      <c r="T85" s="112"/>
      <c r="U85" s="109"/>
      <c r="V85" s="132"/>
      <c r="W85" s="109"/>
      <c r="X85" s="109"/>
      <c r="Y85" s="109"/>
      <c r="Z85" s="109"/>
      <c r="AA85" s="109"/>
    </row>
    <row r="86" spans="1:27" s="255" customFormat="1" ht="16.5" customHeight="1">
      <c r="A86" s="807" t="s">
        <v>759</v>
      </c>
      <c r="B86" s="807"/>
      <c r="C86" s="812" t="s">
        <v>741</v>
      </c>
      <c r="D86" s="813">
        <v>1</v>
      </c>
      <c r="E86" s="815">
        <v>0</v>
      </c>
      <c r="F86" s="204">
        <f t="shared" si="11"/>
        <v>0</v>
      </c>
      <c r="G86" s="250">
        <v>22.45</v>
      </c>
      <c r="H86" s="204">
        <f t="shared" si="12"/>
        <v>57.022999999999996</v>
      </c>
      <c r="I86" s="246">
        <f t="shared" si="13"/>
        <v>0</v>
      </c>
      <c r="J86" s="226">
        <f>E86/Material!B15</f>
        <v>0</v>
      </c>
      <c r="K86" s="246">
        <f t="shared" si="14"/>
        <v>0</v>
      </c>
      <c r="L86" s="265">
        <f t="shared" si="15"/>
        <v>22.45</v>
      </c>
      <c r="M86" s="123">
        <f t="shared" si="16"/>
        <v>57.022999999999996</v>
      </c>
      <c r="N86" s="246">
        <f t="shared" si="17"/>
        <v>0</v>
      </c>
      <c r="O86" s="210">
        <v>0</v>
      </c>
      <c r="P86" s="204">
        <f t="shared" si="18"/>
        <v>0</v>
      </c>
      <c r="Q86" s="246">
        <f t="shared" si="19"/>
        <v>0</v>
      </c>
      <c r="R86" s="208">
        <f t="shared" si="20"/>
        <v>0</v>
      </c>
      <c r="S86" s="112"/>
      <c r="T86" s="112"/>
      <c r="U86" s="109"/>
      <c r="V86" s="132"/>
      <c r="W86" s="109"/>
      <c r="X86" s="109"/>
      <c r="Y86" s="109"/>
      <c r="Z86" s="109"/>
      <c r="AA86" s="109"/>
    </row>
    <row r="87" spans="1:27" s="255" customFormat="1" ht="16.5" customHeight="1">
      <c r="A87" s="266"/>
      <c r="B87" s="266" t="s">
        <v>760</v>
      </c>
      <c r="C87" s="548">
        <v>1310</v>
      </c>
      <c r="D87" s="532"/>
      <c r="E87" s="533"/>
      <c r="F87" s="204"/>
      <c r="G87" s="250"/>
      <c r="H87" s="204"/>
      <c r="I87" s="246"/>
      <c r="J87" s="226"/>
      <c r="K87" s="246"/>
      <c r="L87" s="123"/>
      <c r="M87" s="123"/>
      <c r="N87" s="246"/>
      <c r="O87" s="210"/>
      <c r="P87" s="204"/>
      <c r="Q87" s="246"/>
      <c r="R87" s="208"/>
      <c r="S87" s="112"/>
      <c r="T87" s="112"/>
      <c r="U87" s="109"/>
      <c r="V87" s="132"/>
      <c r="W87" s="109"/>
      <c r="X87" s="109"/>
      <c r="Y87" s="109"/>
      <c r="Z87" s="109"/>
      <c r="AA87" s="109"/>
    </row>
    <row r="88" spans="1:27" s="255" customFormat="1" ht="16.5" customHeight="1" thickBot="1">
      <c r="A88" s="267"/>
      <c r="B88" s="784" t="s">
        <v>761</v>
      </c>
      <c r="C88" s="785">
        <v>1159.7999999999997</v>
      </c>
      <c r="D88" s="549">
        <v>150.20000000000027</v>
      </c>
      <c r="E88" s="550" t="s">
        <v>955</v>
      </c>
      <c r="F88" s="258"/>
      <c r="G88" s="259"/>
      <c r="H88" s="258"/>
      <c r="I88" s="260"/>
      <c r="J88" s="261"/>
      <c r="K88" s="260"/>
      <c r="L88" s="262"/>
      <c r="M88" s="262"/>
      <c r="N88" s="260"/>
      <c r="O88" s="263"/>
      <c r="P88" s="258"/>
      <c r="Q88" s="260"/>
      <c r="R88" s="258"/>
      <c r="S88" s="112"/>
      <c r="T88" s="112"/>
      <c r="U88" s="109"/>
      <c r="V88" s="132"/>
      <c r="W88" s="109"/>
      <c r="X88" s="109"/>
      <c r="Y88" s="109"/>
      <c r="Z88" s="109"/>
      <c r="AA88" s="109"/>
    </row>
    <row r="89" spans="1:27" s="128" customFormat="1" ht="16.5" customHeight="1" thickTop="1">
      <c r="A89" s="128" t="s">
        <v>762</v>
      </c>
      <c r="B89" s="764">
        <f>'Weight sheet'!C33</f>
        <v>4199434</v>
      </c>
      <c r="C89" s="764">
        <f>'Weight sheet'!D33</f>
        <v>55497</v>
      </c>
      <c r="D89" s="783"/>
      <c r="E89" s="551"/>
      <c r="J89" s="268"/>
      <c r="O89" s="268"/>
      <c r="S89" s="195"/>
      <c r="T89" s="195"/>
      <c r="U89" s="195"/>
      <c r="V89" s="196"/>
      <c r="W89" s="195"/>
      <c r="X89" s="195"/>
      <c r="Y89" s="195"/>
      <c r="Z89" s="195"/>
      <c r="AA89" s="195"/>
    </row>
    <row r="90" spans="2:27" s="128" customFormat="1" ht="16.5" customHeight="1">
      <c r="B90" s="788" t="s">
        <v>865</v>
      </c>
      <c r="C90" s="790">
        <f>SUM(F93:F143)</f>
        <v>4831.1</v>
      </c>
      <c r="D90" s="802" t="s">
        <v>986</v>
      </c>
      <c r="E90" s="530" t="s">
        <v>955</v>
      </c>
      <c r="F90" s="130"/>
      <c r="G90" s="269"/>
      <c r="H90" s="194"/>
      <c r="J90" s="270"/>
      <c r="L90" s="271"/>
      <c r="M90" s="194"/>
      <c r="N90" s="196"/>
      <c r="O90" s="272"/>
      <c r="P90" s="194"/>
      <c r="Q90" s="196"/>
      <c r="R90" s="273"/>
      <c r="S90" s="195"/>
      <c r="T90" s="195"/>
      <c r="U90" s="195"/>
      <c r="V90" s="196"/>
      <c r="W90" s="195"/>
      <c r="X90" s="195"/>
      <c r="Y90" s="195"/>
      <c r="Z90" s="195"/>
      <c r="AA90" s="195"/>
    </row>
    <row r="91" spans="2:32" s="128" customFormat="1" ht="16.5" customHeight="1">
      <c r="B91" s="788" t="s">
        <v>708</v>
      </c>
      <c r="C91" s="870">
        <f>'Weight sheet'!H35</f>
        <v>4593.2</v>
      </c>
      <c r="D91" s="802" t="s">
        <v>986</v>
      </c>
      <c r="E91" s="531">
        <f>C91-C90</f>
        <v>-237.90000000000055</v>
      </c>
      <c r="I91" s="274"/>
      <c r="O91" s="268"/>
      <c r="S91"/>
      <c r="T91"/>
      <c r="U91"/>
      <c r="V91"/>
      <c r="W91"/>
      <c r="X91"/>
      <c r="Y91"/>
      <c r="Z91"/>
      <c r="AA91"/>
      <c r="AB91"/>
      <c r="AC91"/>
      <c r="AD91"/>
      <c r="AE91"/>
      <c r="AF91"/>
    </row>
    <row r="92" spans="1:32" s="128" customFormat="1" ht="16.5" customHeight="1">
      <c r="A92" s="6"/>
      <c r="B92" s="6"/>
      <c r="C92" s="533"/>
      <c r="D92" s="523"/>
      <c r="E92" s="531"/>
      <c r="I92" s="223"/>
      <c r="O92" s="268"/>
      <c r="S92"/>
      <c r="T92"/>
      <c r="U92"/>
      <c r="V92"/>
      <c r="W92"/>
      <c r="X92"/>
      <c r="Y92"/>
      <c r="Z92"/>
      <c r="AA92"/>
      <c r="AB92"/>
      <c r="AC92"/>
      <c r="AD92"/>
      <c r="AE92"/>
      <c r="AF92"/>
    </row>
    <row r="93" spans="1:27" s="255" customFormat="1" ht="16.5" customHeight="1">
      <c r="A93" s="804" t="s">
        <v>641</v>
      </c>
      <c r="B93" s="762">
        <f>'Weight sheet'!C36</f>
        <v>4199495</v>
      </c>
      <c r="C93" s="762">
        <f>'Weight sheet'!D36</f>
        <v>56972</v>
      </c>
      <c r="D93" s="881">
        <f>'Weight sheet'!F36</f>
        <v>1</v>
      </c>
      <c r="E93" s="869">
        <f>'Weight sheet'!H36</f>
        <v>2062</v>
      </c>
      <c r="F93" s="208">
        <f aca="true" t="shared" si="21" ref="F93:F103">E93*D93</f>
        <v>2062</v>
      </c>
      <c r="G93" s="251">
        <v>54.87</v>
      </c>
      <c r="H93" s="208">
        <f>G93*2.54</f>
        <v>139.3698</v>
      </c>
      <c r="I93" s="132">
        <f aca="true" t="shared" si="22" ref="I93:I103">F93*H93</f>
        <v>287380.5276</v>
      </c>
      <c r="J93" s="226">
        <f>F93/Fiberglass_Density</f>
        <v>1356.7430716837025</v>
      </c>
      <c r="K93" s="132">
        <f aca="true" t="shared" si="23" ref="K93:K103">J93*D93</f>
        <v>1356.7430716837025</v>
      </c>
      <c r="L93" s="227">
        <f>G93</f>
        <v>54.87</v>
      </c>
      <c r="M93" s="208">
        <f>L93*2.54</f>
        <v>139.3698</v>
      </c>
      <c r="N93" s="132">
        <f aca="true" t="shared" si="24" ref="N93:N103">K93*M93</f>
        <v>189089.01055194327</v>
      </c>
      <c r="O93" s="210">
        <v>-0.02</v>
      </c>
      <c r="P93" s="208">
        <f aca="true" t="shared" si="25" ref="P93:P103">O93*2.54</f>
        <v>-0.050800000000000005</v>
      </c>
      <c r="Q93" s="132">
        <f aca="true" t="shared" si="26" ref="Q93:Q103">F93*P93</f>
        <v>-104.74960000000002</v>
      </c>
      <c r="R93" s="208">
        <f aca="true" t="shared" si="27" ref="R93:R103">K93*P93</f>
        <v>-68.9225480415321</v>
      </c>
      <c r="S93" s="109"/>
      <c r="T93" s="109"/>
      <c r="U93" s="109"/>
      <c r="V93" s="132"/>
      <c r="W93" s="109"/>
      <c r="X93" s="109"/>
      <c r="Y93" s="109"/>
      <c r="Z93" s="109"/>
      <c r="AA93" s="109"/>
    </row>
    <row r="94" spans="1:18" s="109" customFormat="1" ht="16.5" customHeight="1">
      <c r="A94" s="806" t="s">
        <v>642</v>
      </c>
      <c r="B94" s="762">
        <f>'Weight sheet'!C37</f>
        <v>4199438</v>
      </c>
      <c r="C94" s="762">
        <f>'Weight sheet'!D37</f>
        <v>56751</v>
      </c>
      <c r="D94" s="881">
        <f>'Weight sheet'!F37</f>
        <v>1</v>
      </c>
      <c r="E94" s="869">
        <f>'Weight sheet'!H37</f>
        <v>686</v>
      </c>
      <c r="F94" s="208">
        <f t="shared" si="21"/>
        <v>686</v>
      </c>
      <c r="G94" s="225"/>
      <c r="H94" s="208">
        <v>130.7</v>
      </c>
      <c r="I94" s="132">
        <f t="shared" si="22"/>
        <v>89660.2</v>
      </c>
      <c r="J94" s="275">
        <f>D94*641.6</f>
        <v>641.6</v>
      </c>
      <c r="K94" s="132">
        <f t="shared" si="23"/>
        <v>641.6</v>
      </c>
      <c r="L94" s="227"/>
      <c r="M94" s="208">
        <f>H94</f>
        <v>130.7</v>
      </c>
      <c r="N94" s="132">
        <f t="shared" si="24"/>
        <v>83857.12</v>
      </c>
      <c r="O94" s="210">
        <v>0</v>
      </c>
      <c r="P94" s="208">
        <f t="shared" si="25"/>
        <v>0</v>
      </c>
      <c r="Q94" s="132">
        <f t="shared" si="26"/>
        <v>0</v>
      </c>
      <c r="R94" s="208">
        <f t="shared" si="27"/>
        <v>0</v>
      </c>
    </row>
    <row r="95" spans="1:18" s="109" customFormat="1" ht="16.5" customHeight="1">
      <c r="A95" s="806" t="s">
        <v>643</v>
      </c>
      <c r="B95" s="762">
        <f>'Weight sheet'!C38</f>
        <v>0</v>
      </c>
      <c r="C95" s="762">
        <f>'Weight sheet'!D38</f>
        <v>49838</v>
      </c>
      <c r="D95" s="881">
        <f>'Weight sheet'!F38</f>
        <v>0</v>
      </c>
      <c r="E95" s="869">
        <f>'Weight sheet'!H38</f>
        <v>0</v>
      </c>
      <c r="F95" s="208">
        <f t="shared" si="21"/>
        <v>0</v>
      </c>
      <c r="G95" s="225"/>
      <c r="H95" s="208">
        <v>130.7</v>
      </c>
      <c r="I95" s="132">
        <f t="shared" si="22"/>
        <v>0</v>
      </c>
      <c r="J95" s="275">
        <f>D95*759.3</f>
        <v>0</v>
      </c>
      <c r="K95" s="132">
        <f t="shared" si="23"/>
        <v>0</v>
      </c>
      <c r="L95" s="227"/>
      <c r="M95" s="208">
        <f>H95</f>
        <v>130.7</v>
      </c>
      <c r="N95" s="132">
        <f t="shared" si="24"/>
        <v>0</v>
      </c>
      <c r="O95" s="210">
        <v>0</v>
      </c>
      <c r="P95" s="208">
        <f t="shared" si="25"/>
        <v>0</v>
      </c>
      <c r="Q95" s="132">
        <f t="shared" si="26"/>
        <v>0</v>
      </c>
      <c r="R95" s="208">
        <f t="shared" si="27"/>
        <v>0</v>
      </c>
    </row>
    <row r="96" spans="1:18" s="109" customFormat="1" ht="16.5" customHeight="1">
      <c r="A96" s="806" t="s">
        <v>644</v>
      </c>
      <c r="B96" s="762">
        <f>'Weight sheet'!C39</f>
        <v>4199438</v>
      </c>
      <c r="C96" s="762">
        <f>'Weight sheet'!D39</f>
        <v>56751</v>
      </c>
      <c r="D96" s="881">
        <f>'Weight sheet'!F39</f>
        <v>1</v>
      </c>
      <c r="E96" s="869">
        <f>'Weight sheet'!H39</f>
        <v>697</v>
      </c>
      <c r="F96" s="208">
        <f t="shared" si="21"/>
        <v>697</v>
      </c>
      <c r="G96" s="225"/>
      <c r="H96" s="208">
        <v>130.7</v>
      </c>
      <c r="I96" s="132">
        <f t="shared" si="22"/>
        <v>91097.9</v>
      </c>
      <c r="J96" s="275">
        <f>D96*641.6</f>
        <v>641.6</v>
      </c>
      <c r="K96" s="132">
        <f t="shared" si="23"/>
        <v>641.6</v>
      </c>
      <c r="L96" s="227"/>
      <c r="M96" s="208">
        <f>H96</f>
        <v>130.7</v>
      </c>
      <c r="N96" s="132">
        <f t="shared" si="24"/>
        <v>83857.12</v>
      </c>
      <c r="O96" s="210">
        <v>0</v>
      </c>
      <c r="P96" s="208">
        <f t="shared" si="25"/>
        <v>0</v>
      </c>
      <c r="Q96" s="132">
        <f t="shared" si="26"/>
        <v>0</v>
      </c>
      <c r="R96" s="208">
        <f t="shared" si="27"/>
        <v>0</v>
      </c>
    </row>
    <row r="97" spans="1:18" s="109" customFormat="1" ht="16.5" customHeight="1">
      <c r="A97" s="806" t="s">
        <v>645</v>
      </c>
      <c r="B97" s="762">
        <f>'Weight sheet'!C40</f>
        <v>0</v>
      </c>
      <c r="C97" s="762">
        <f>'Weight sheet'!D40</f>
        <v>49838</v>
      </c>
      <c r="D97" s="881">
        <f>'Weight sheet'!F40</f>
        <v>0</v>
      </c>
      <c r="E97" s="869">
        <f>'Weight sheet'!H40</f>
        <v>0</v>
      </c>
      <c r="F97" s="208">
        <f t="shared" si="21"/>
        <v>0</v>
      </c>
      <c r="G97" s="225"/>
      <c r="H97" s="208">
        <v>130.7</v>
      </c>
      <c r="I97" s="132">
        <f t="shared" si="22"/>
        <v>0</v>
      </c>
      <c r="J97" s="275">
        <f>D97*759.3</f>
        <v>0</v>
      </c>
      <c r="K97" s="132">
        <f t="shared" si="23"/>
        <v>0</v>
      </c>
      <c r="L97" s="227"/>
      <c r="M97" s="208">
        <f>H97</f>
        <v>130.7</v>
      </c>
      <c r="N97" s="132">
        <f t="shared" si="24"/>
        <v>0</v>
      </c>
      <c r="O97" s="210">
        <v>0</v>
      </c>
      <c r="P97" s="208">
        <f t="shared" si="25"/>
        <v>0</v>
      </c>
      <c r="Q97" s="132">
        <f t="shared" si="26"/>
        <v>0</v>
      </c>
      <c r="R97" s="208">
        <f t="shared" si="27"/>
        <v>0</v>
      </c>
    </row>
    <row r="98" spans="1:27" s="230" customFormat="1" ht="16.5" customHeight="1">
      <c r="A98" s="804" t="s">
        <v>646</v>
      </c>
      <c r="B98" s="762">
        <f>'Weight sheet'!C41</f>
        <v>4199270</v>
      </c>
      <c r="C98" s="762">
        <f>'Weight sheet'!D41</f>
        <v>56912</v>
      </c>
      <c r="D98" s="881">
        <f>'Weight sheet'!F41</f>
        <v>1</v>
      </c>
      <c r="E98" s="869">
        <f>'Weight sheet'!H41</f>
        <v>11.2</v>
      </c>
      <c r="F98" s="208">
        <f t="shared" si="21"/>
        <v>11.2</v>
      </c>
      <c r="G98" s="225">
        <v>50</v>
      </c>
      <c r="H98" s="208">
        <f aca="true" t="shared" si="28" ref="H98:H103">G98*2.54</f>
        <v>127</v>
      </c>
      <c r="I98" s="132">
        <f t="shared" si="22"/>
        <v>1422.3999999999999</v>
      </c>
      <c r="J98" s="226">
        <f>E98/SS_Density</f>
        <v>1.3952908932353307</v>
      </c>
      <c r="K98" s="132">
        <f t="shared" si="23"/>
        <v>1.3952908932353307</v>
      </c>
      <c r="L98" s="227">
        <f aca="true" t="shared" si="29" ref="L98:L103">G98</f>
        <v>50</v>
      </c>
      <c r="M98" s="208">
        <f aca="true" t="shared" si="30" ref="M98:M103">L98*2.54</f>
        <v>127</v>
      </c>
      <c r="N98" s="132">
        <f t="shared" si="24"/>
        <v>177.201943440887</v>
      </c>
      <c r="O98" s="210">
        <v>0</v>
      </c>
      <c r="P98" s="208">
        <f t="shared" si="25"/>
        <v>0</v>
      </c>
      <c r="Q98" s="132">
        <f t="shared" si="26"/>
        <v>0</v>
      </c>
      <c r="R98" s="208">
        <f t="shared" si="27"/>
        <v>0</v>
      </c>
      <c r="S98" s="228"/>
      <c r="T98" s="228"/>
      <c r="U98" s="228"/>
      <c r="V98" s="229"/>
      <c r="W98" s="228"/>
      <c r="X98" s="228"/>
      <c r="Y98" s="228"/>
      <c r="Z98" s="228"/>
      <c r="AA98" s="228"/>
    </row>
    <row r="99" spans="1:27" s="255" customFormat="1" ht="16.5" customHeight="1">
      <c r="A99" s="806" t="s">
        <v>647</v>
      </c>
      <c r="B99" s="762">
        <f>'Weight sheet'!C42</f>
        <v>4199331</v>
      </c>
      <c r="C99" s="762">
        <f>'Weight sheet'!D42</f>
        <v>49839</v>
      </c>
      <c r="D99" s="881">
        <f>'Weight sheet'!F42</f>
        <v>1</v>
      </c>
      <c r="E99" s="869">
        <f>'Weight sheet'!H42</f>
        <v>120</v>
      </c>
      <c r="F99" s="208">
        <f t="shared" si="21"/>
        <v>120</v>
      </c>
      <c r="G99" s="225">
        <v>67.578</v>
      </c>
      <c r="H99" s="208">
        <f t="shared" si="28"/>
        <v>171.64812</v>
      </c>
      <c r="I99" s="132">
        <f t="shared" si="22"/>
        <v>20597.774400000002</v>
      </c>
      <c r="J99" s="226">
        <f>E99/Material!B16</f>
        <v>99.17355371900827</v>
      </c>
      <c r="K99" s="132">
        <f t="shared" si="23"/>
        <v>99.17355371900827</v>
      </c>
      <c r="L99" s="227">
        <f t="shared" si="29"/>
        <v>67.578</v>
      </c>
      <c r="M99" s="208">
        <f t="shared" si="30"/>
        <v>171.64812</v>
      </c>
      <c r="N99" s="132">
        <f t="shared" si="24"/>
        <v>17022.954049586777</v>
      </c>
      <c r="O99" s="210">
        <v>0</v>
      </c>
      <c r="P99" s="208">
        <f t="shared" si="25"/>
        <v>0</v>
      </c>
      <c r="Q99" s="132">
        <f t="shared" si="26"/>
        <v>0</v>
      </c>
      <c r="R99" s="208">
        <f t="shared" si="27"/>
        <v>0</v>
      </c>
      <c r="S99" s="109"/>
      <c r="T99" s="109"/>
      <c r="U99" s="109"/>
      <c r="V99" s="132"/>
      <c r="W99" s="109"/>
      <c r="X99" s="109"/>
      <c r="Y99" s="109"/>
      <c r="Z99" s="109"/>
      <c r="AA99" s="109"/>
    </row>
    <row r="100" spans="1:27" s="255" customFormat="1" ht="16.5" customHeight="1">
      <c r="A100" s="805" t="s">
        <v>648</v>
      </c>
      <c r="B100" s="762">
        <f>'Weight sheet'!C43</f>
        <v>4199237</v>
      </c>
      <c r="C100" s="762">
        <f>'Weight sheet'!D43</f>
        <v>55487</v>
      </c>
      <c r="D100" s="881">
        <f>'Weight sheet'!F43</f>
        <v>1</v>
      </c>
      <c r="E100" s="869">
        <f>'Weight sheet'!H43</f>
        <v>20.3</v>
      </c>
      <c r="F100" s="204">
        <f t="shared" si="21"/>
        <v>20.3</v>
      </c>
      <c r="G100" s="250">
        <v>67.75</v>
      </c>
      <c r="H100" s="204">
        <f t="shared" si="28"/>
        <v>172.085</v>
      </c>
      <c r="I100" s="246">
        <f t="shared" si="22"/>
        <v>3493.3255000000004</v>
      </c>
      <c r="J100" s="226">
        <f>E100/SS_Density</f>
        <v>2.5289647439890373</v>
      </c>
      <c r="K100" s="246">
        <f t="shared" si="23"/>
        <v>2.5289647439890373</v>
      </c>
      <c r="L100" s="123">
        <f t="shared" si="29"/>
        <v>67.75</v>
      </c>
      <c r="M100" s="204">
        <f t="shared" si="30"/>
        <v>172.085</v>
      </c>
      <c r="N100" s="132">
        <f t="shared" si="24"/>
        <v>435.1968979693535</v>
      </c>
      <c r="O100" s="210">
        <v>0</v>
      </c>
      <c r="P100" s="204">
        <f t="shared" si="25"/>
        <v>0</v>
      </c>
      <c r="Q100" s="246">
        <f t="shared" si="26"/>
        <v>0</v>
      </c>
      <c r="R100" s="208">
        <f t="shared" si="27"/>
        <v>0</v>
      </c>
      <c r="S100" s="276"/>
      <c r="T100" s="277"/>
      <c r="U100" s="109"/>
      <c r="V100" s="132"/>
      <c r="W100" s="109"/>
      <c r="X100" s="109"/>
      <c r="Y100" s="109"/>
      <c r="Z100" s="109"/>
      <c r="AA100" s="109"/>
    </row>
    <row r="101" spans="1:27" s="255" customFormat="1" ht="16.5" customHeight="1">
      <c r="A101" s="807" t="s">
        <v>649</v>
      </c>
      <c r="B101" s="762">
        <f>'Weight sheet'!C44</f>
        <v>4199496</v>
      </c>
      <c r="C101" s="762">
        <f>'Weight sheet'!D44</f>
        <v>57651</v>
      </c>
      <c r="D101" s="881">
        <f>'Weight sheet'!F44</f>
        <v>1</v>
      </c>
      <c r="E101" s="869">
        <f>'Weight sheet'!H44</f>
        <v>226</v>
      </c>
      <c r="F101" s="204">
        <f t="shared" si="21"/>
        <v>226</v>
      </c>
      <c r="G101" s="250">
        <v>54.3</v>
      </c>
      <c r="H101" s="204">
        <f t="shared" si="28"/>
        <v>137.922</v>
      </c>
      <c r="I101" s="246">
        <f t="shared" si="22"/>
        <v>31170.372</v>
      </c>
      <c r="J101" s="226">
        <f>E101/Material!B16</f>
        <v>186.77685950413223</v>
      </c>
      <c r="K101" s="246">
        <f t="shared" si="23"/>
        <v>186.77685950413223</v>
      </c>
      <c r="L101" s="123">
        <f t="shared" si="29"/>
        <v>54.3</v>
      </c>
      <c r="M101" s="123">
        <f t="shared" si="30"/>
        <v>137.922</v>
      </c>
      <c r="N101" s="246">
        <f t="shared" si="24"/>
        <v>25760.638016528927</v>
      </c>
      <c r="O101" s="210">
        <v>1.65</v>
      </c>
      <c r="P101" s="204">
        <f t="shared" si="25"/>
        <v>4.191</v>
      </c>
      <c r="Q101" s="246">
        <f t="shared" si="26"/>
        <v>947.1659999999999</v>
      </c>
      <c r="R101" s="208">
        <f t="shared" si="27"/>
        <v>782.7818181818182</v>
      </c>
      <c r="S101" s="112"/>
      <c r="T101" s="112"/>
      <c r="U101" s="109"/>
      <c r="V101" s="132"/>
      <c r="W101" s="109"/>
      <c r="X101" s="109"/>
      <c r="Y101" s="109"/>
      <c r="Z101" s="109"/>
      <c r="AA101" s="109"/>
    </row>
    <row r="102" spans="1:27" s="255" customFormat="1" ht="16.5" customHeight="1">
      <c r="A102" s="807" t="s">
        <v>650</v>
      </c>
      <c r="B102" s="762">
        <f>'Weight sheet'!C45</f>
        <v>4199496</v>
      </c>
      <c r="C102" s="762">
        <f>'Weight sheet'!D45</f>
        <v>57651</v>
      </c>
      <c r="D102" s="881">
        <f>'Weight sheet'!F45</f>
        <v>1</v>
      </c>
      <c r="E102" s="869">
        <f>'Weight sheet'!H45</f>
        <v>230</v>
      </c>
      <c r="F102" s="204">
        <f t="shared" si="21"/>
        <v>230</v>
      </c>
      <c r="G102" s="250">
        <v>54.3</v>
      </c>
      <c r="H102" s="204">
        <f t="shared" si="28"/>
        <v>137.922</v>
      </c>
      <c r="I102" s="246">
        <f t="shared" si="22"/>
        <v>31722.059999999998</v>
      </c>
      <c r="J102" s="226">
        <f>E102/Material!B16</f>
        <v>190.0826446280992</v>
      </c>
      <c r="K102" s="246">
        <f t="shared" si="23"/>
        <v>190.0826446280992</v>
      </c>
      <c r="L102" s="123">
        <f t="shared" si="29"/>
        <v>54.3</v>
      </c>
      <c r="M102" s="123">
        <f t="shared" si="30"/>
        <v>137.922</v>
      </c>
      <c r="N102" s="246">
        <f t="shared" si="24"/>
        <v>26216.578512396696</v>
      </c>
      <c r="O102" s="210">
        <v>-1.65</v>
      </c>
      <c r="P102" s="204">
        <f t="shared" si="25"/>
        <v>-4.191</v>
      </c>
      <c r="Q102" s="246">
        <f t="shared" si="26"/>
        <v>-963.93</v>
      </c>
      <c r="R102" s="208">
        <f t="shared" si="27"/>
        <v>-796.6363636363636</v>
      </c>
      <c r="S102" s="112"/>
      <c r="T102" s="112"/>
      <c r="U102" s="109"/>
      <c r="V102" s="132"/>
      <c r="W102" s="109"/>
      <c r="X102" s="109"/>
      <c r="Y102" s="109"/>
      <c r="Z102" s="109"/>
      <c r="AA102" s="109"/>
    </row>
    <row r="103" spans="1:27" s="255" customFormat="1" ht="16.5" customHeight="1">
      <c r="A103" s="807" t="s">
        <v>651</v>
      </c>
      <c r="B103" s="762">
        <f>'Weight sheet'!C46</f>
        <v>4199270</v>
      </c>
      <c r="C103" s="762">
        <f>'Weight sheet'!D46</f>
        <v>56912</v>
      </c>
      <c r="D103" s="881">
        <f>'Weight sheet'!F46</f>
        <v>1</v>
      </c>
      <c r="E103" s="869">
        <f>'Weight sheet'!H46</f>
        <v>12.6</v>
      </c>
      <c r="F103" s="204">
        <f t="shared" si="21"/>
        <v>12.6</v>
      </c>
      <c r="G103" s="250">
        <v>54.3</v>
      </c>
      <c r="H103" s="204">
        <f t="shared" si="28"/>
        <v>137.922</v>
      </c>
      <c r="I103" s="246">
        <f t="shared" si="22"/>
        <v>1737.8172</v>
      </c>
      <c r="J103" s="226">
        <f>F103/SS_Density</f>
        <v>1.5697022548897472</v>
      </c>
      <c r="K103" s="246">
        <f t="shared" si="23"/>
        <v>1.5697022548897472</v>
      </c>
      <c r="L103" s="123">
        <f t="shared" si="29"/>
        <v>54.3</v>
      </c>
      <c r="M103" s="123">
        <f t="shared" si="30"/>
        <v>137.922</v>
      </c>
      <c r="N103" s="246">
        <f t="shared" si="24"/>
        <v>216.4964743989037</v>
      </c>
      <c r="O103" s="210">
        <v>0</v>
      </c>
      <c r="P103" s="204">
        <f t="shared" si="25"/>
        <v>0</v>
      </c>
      <c r="Q103" s="246">
        <f t="shared" si="26"/>
        <v>0</v>
      </c>
      <c r="R103" s="208">
        <f t="shared" si="27"/>
        <v>0</v>
      </c>
      <c r="S103" s="112"/>
      <c r="T103" s="112"/>
      <c r="U103" s="109"/>
      <c r="V103" s="132"/>
      <c r="W103" s="109"/>
      <c r="X103" s="109"/>
      <c r="Y103" s="109"/>
      <c r="Z103" s="109"/>
      <c r="AA103" s="109"/>
    </row>
    <row r="104" spans="1:27" s="96" customFormat="1" ht="16.5" customHeight="1">
      <c r="A104" s="130"/>
      <c r="B104" s="781"/>
      <c r="C104" s="782"/>
      <c r="D104" s="552"/>
      <c r="E104" s="533"/>
      <c r="G104" s="278"/>
      <c r="H104" s="130"/>
      <c r="I104" s="98"/>
      <c r="J104" s="279"/>
      <c r="K104" s="98"/>
      <c r="L104" s="280"/>
      <c r="M104" s="130"/>
      <c r="N104" s="98"/>
      <c r="O104" s="281"/>
      <c r="P104" s="130"/>
      <c r="Q104" s="98"/>
      <c r="R104" s="130"/>
      <c r="S104" s="94"/>
      <c r="T104" s="94"/>
      <c r="U104" s="94"/>
      <c r="V104" s="129"/>
      <c r="W104" s="94"/>
      <c r="X104" s="94"/>
      <c r="Y104" s="94"/>
      <c r="Z104" s="94"/>
      <c r="AA104" s="94"/>
    </row>
    <row r="105" spans="1:27" s="128" customFormat="1" ht="16.5" customHeight="1">
      <c r="A105" s="128" t="s">
        <v>652</v>
      </c>
      <c r="B105" s="764">
        <f>'Weight sheet'!C50</f>
        <v>4199332</v>
      </c>
      <c r="C105" s="764">
        <f>'Weight sheet'!D50</f>
        <v>49841</v>
      </c>
      <c r="D105" s="765"/>
      <c r="E105" s="553"/>
      <c r="F105" s="130"/>
      <c r="G105" s="269"/>
      <c r="H105" s="194"/>
      <c r="I105" s="196"/>
      <c r="J105" s="270"/>
      <c r="K105" s="196"/>
      <c r="L105" s="271"/>
      <c r="M105" s="194"/>
      <c r="N105" s="196"/>
      <c r="O105" s="272"/>
      <c r="P105" s="194"/>
      <c r="Q105" s="196"/>
      <c r="R105" s="194"/>
      <c r="S105" s="195"/>
      <c r="T105" s="195"/>
      <c r="U105" s="195"/>
      <c r="V105" s="196"/>
      <c r="W105" s="195"/>
      <c r="X105" s="195"/>
      <c r="Y105" s="195"/>
      <c r="Z105" s="195"/>
      <c r="AA105" s="195"/>
    </row>
    <row r="106" spans="2:27" s="128" customFormat="1" ht="16.5" customHeight="1">
      <c r="B106" s="788" t="s">
        <v>865</v>
      </c>
      <c r="C106" s="790">
        <f>SUM(F108:F109)</f>
        <v>545</v>
      </c>
      <c r="D106" s="801" t="s">
        <v>986</v>
      </c>
      <c r="E106" s="554" t="s">
        <v>955</v>
      </c>
      <c r="F106" s="130"/>
      <c r="G106" s="269"/>
      <c r="H106" s="194"/>
      <c r="J106" s="270"/>
      <c r="L106" s="271"/>
      <c r="M106" s="194"/>
      <c r="N106" s="196"/>
      <c r="O106" s="272"/>
      <c r="P106" s="194"/>
      <c r="Q106" s="196"/>
      <c r="R106" s="194"/>
      <c r="S106" s="195"/>
      <c r="T106" s="195"/>
      <c r="U106" s="195"/>
      <c r="V106" s="196"/>
      <c r="W106" s="195"/>
      <c r="X106" s="195"/>
      <c r="Y106" s="195"/>
      <c r="Z106" s="195"/>
      <c r="AA106" s="195"/>
    </row>
    <row r="107" spans="2:32" s="241" customFormat="1" ht="16.5" customHeight="1">
      <c r="B107" s="809" t="s">
        <v>708</v>
      </c>
      <c r="C107" s="873">
        <f>'Weight sheet'!H52</f>
        <v>545</v>
      </c>
      <c r="D107" s="816" t="s">
        <v>986</v>
      </c>
      <c r="E107" s="531">
        <f>C107-C106</f>
        <v>0</v>
      </c>
      <c r="I107" s="242"/>
      <c r="O107" s="243"/>
      <c r="S107"/>
      <c r="T107"/>
      <c r="U107"/>
      <c r="V107"/>
      <c r="W107"/>
      <c r="X107"/>
      <c r="Y107"/>
      <c r="Z107"/>
      <c r="AA107"/>
      <c r="AB107"/>
      <c r="AC107"/>
      <c r="AD107"/>
      <c r="AE107"/>
      <c r="AF107"/>
    </row>
    <row r="108" spans="1:27" s="255" customFormat="1" ht="135">
      <c r="A108" s="817" t="s">
        <v>653</v>
      </c>
      <c r="B108" s="779" t="str">
        <f>'Weight sheet'!C53</f>
        <v>4199393 / 4199395 / 4199089 / 4199352 /4199234 / 4199105 / 4199262 /4199266 /4199394</v>
      </c>
      <c r="C108" s="779" t="str">
        <f>'Weight sheet'!D53</f>
        <v>52336 / 52341 / 52454 / 52231 / 55474 /52481 / 56875 /56884 / 52340</v>
      </c>
      <c r="D108" s="881">
        <f>'Weight sheet'!F53</f>
        <v>1</v>
      </c>
      <c r="E108" s="869">
        <f>'Weight sheet'!H53</f>
        <v>545</v>
      </c>
      <c r="F108" s="123">
        <f>E108*D108</f>
        <v>545</v>
      </c>
      <c r="G108" s="250">
        <v>81.305</v>
      </c>
      <c r="H108" s="250">
        <f>G108*2.54</f>
        <v>206.51470000000003</v>
      </c>
      <c r="I108" s="282">
        <f>F108*H108</f>
        <v>112550.51150000002</v>
      </c>
      <c r="J108" s="209">
        <v>355.5</v>
      </c>
      <c r="K108" s="282">
        <f>J108*D108</f>
        <v>355.5</v>
      </c>
      <c r="L108" s="250">
        <v>81.305</v>
      </c>
      <c r="M108" s="123">
        <f>L108*2.54</f>
        <v>206.51470000000003</v>
      </c>
      <c r="N108" s="282">
        <f>K108*M108</f>
        <v>73415.97585000002</v>
      </c>
      <c r="O108" s="210">
        <v>0</v>
      </c>
      <c r="P108" s="123">
        <f>O108*2.54</f>
        <v>0</v>
      </c>
      <c r="Q108" s="282">
        <f>F108*P108</f>
        <v>0</v>
      </c>
      <c r="R108" s="208">
        <f>K108*P108</f>
        <v>0</v>
      </c>
      <c r="S108" s="276"/>
      <c r="T108" s="277"/>
      <c r="U108" s="109"/>
      <c r="V108" s="132"/>
      <c r="W108" s="109"/>
      <c r="X108" s="109"/>
      <c r="Y108" s="109"/>
      <c r="Z108" s="109"/>
      <c r="AA108" s="109"/>
    </row>
    <row r="109" spans="1:27" s="239" customFormat="1" ht="16.5" customHeight="1">
      <c r="A109" s="806" t="s">
        <v>654</v>
      </c>
      <c r="B109" s="779"/>
      <c r="C109" s="780">
        <v>52481</v>
      </c>
      <c r="D109" s="813">
        <v>0</v>
      </c>
      <c r="E109" s="815" t="s">
        <v>655</v>
      </c>
      <c r="F109" s="208"/>
      <c r="G109" s="225"/>
      <c r="H109" s="208"/>
      <c r="I109" s="132"/>
      <c r="J109" s="226"/>
      <c r="K109" s="253"/>
      <c r="L109" s="227"/>
      <c r="M109" s="208"/>
      <c r="N109" s="132"/>
      <c r="O109" s="210"/>
      <c r="P109" s="208"/>
      <c r="Q109" s="132"/>
      <c r="R109" s="208"/>
      <c r="S109" s="283"/>
      <c r="T109" s="283"/>
      <c r="U109" s="283"/>
      <c r="V109" s="284"/>
      <c r="W109" s="283"/>
      <c r="X109" s="283"/>
      <c r="Y109" s="283"/>
      <c r="Z109" s="283"/>
      <c r="AA109" s="283"/>
    </row>
    <row r="110" spans="1:27" s="239" customFormat="1" ht="16.5" customHeight="1">
      <c r="A110" s="255"/>
      <c r="B110" s="255"/>
      <c r="C110" s="519"/>
      <c r="D110" s="532"/>
      <c r="E110" s="545"/>
      <c r="F110" s="208"/>
      <c r="G110" s="225"/>
      <c r="H110" s="208"/>
      <c r="I110" s="132"/>
      <c r="J110" s="226"/>
      <c r="K110" s="253"/>
      <c r="L110" s="227"/>
      <c r="M110" s="208"/>
      <c r="N110" s="132"/>
      <c r="O110" s="210"/>
      <c r="P110" s="208"/>
      <c r="Q110" s="132"/>
      <c r="R110" s="208"/>
      <c r="S110" s="283"/>
      <c r="T110" s="283"/>
      <c r="U110" s="283"/>
      <c r="V110" s="284"/>
      <c r="W110" s="283"/>
      <c r="X110" s="283"/>
      <c r="Y110" s="283"/>
      <c r="Z110" s="283"/>
      <c r="AA110" s="283"/>
    </row>
    <row r="111" spans="1:27" s="239" customFormat="1" ht="16.5" customHeight="1">
      <c r="A111" s="241" t="s">
        <v>795</v>
      </c>
      <c r="B111" s="764">
        <f>'Weight sheet'!C56</f>
        <v>4196239</v>
      </c>
      <c r="C111" s="764">
        <f>'Weight sheet'!D56</f>
        <v>55481</v>
      </c>
      <c r="D111" s="521"/>
      <c r="E111" s="545"/>
      <c r="F111" s="208"/>
      <c r="G111" s="225"/>
      <c r="H111" s="208"/>
      <c r="I111" s="132"/>
      <c r="J111" s="226"/>
      <c r="K111" s="253"/>
      <c r="L111" s="227"/>
      <c r="M111" s="208"/>
      <c r="N111" s="132"/>
      <c r="O111" s="210"/>
      <c r="P111" s="208"/>
      <c r="Q111" s="132"/>
      <c r="R111" s="208"/>
      <c r="S111" s="283"/>
      <c r="T111" s="283"/>
      <c r="U111" s="283"/>
      <c r="V111" s="284"/>
      <c r="W111" s="283"/>
      <c r="X111" s="283"/>
      <c r="Y111" s="283"/>
      <c r="Z111" s="283"/>
      <c r="AA111" s="283"/>
    </row>
    <row r="112" spans="2:27" s="128" customFormat="1" ht="16.5" customHeight="1">
      <c r="B112" s="788" t="s">
        <v>865</v>
      </c>
      <c r="C112" s="790">
        <f>SUM(F114:F114)</f>
        <v>0</v>
      </c>
      <c r="D112" s="800" t="s">
        <v>986</v>
      </c>
      <c r="E112" s="554" t="s">
        <v>955</v>
      </c>
      <c r="F112" s="130"/>
      <c r="G112" s="269"/>
      <c r="H112" s="194"/>
      <c r="J112" s="270"/>
      <c r="L112" s="271"/>
      <c r="M112" s="194"/>
      <c r="N112" s="196"/>
      <c r="O112" s="272"/>
      <c r="P112" s="194"/>
      <c r="Q112" s="196"/>
      <c r="R112" s="194"/>
      <c r="S112" s="195"/>
      <c r="T112" s="195"/>
      <c r="U112" s="195"/>
      <c r="V112" s="196"/>
      <c r="W112" s="195"/>
      <c r="X112" s="195"/>
      <c r="Y112" s="195"/>
      <c r="Z112" s="195"/>
      <c r="AA112" s="195"/>
    </row>
    <row r="113" spans="2:32" s="241" customFormat="1" ht="16.5" customHeight="1">
      <c r="B113" s="809" t="s">
        <v>708</v>
      </c>
      <c r="C113" s="873">
        <f>'Weight sheet'!H58</f>
        <v>0</v>
      </c>
      <c r="D113" s="800" t="s">
        <v>986</v>
      </c>
      <c r="E113" s="531">
        <f>C113-C112</f>
        <v>0</v>
      </c>
      <c r="I113" s="242"/>
      <c r="O113" s="243"/>
      <c r="S113"/>
      <c r="T113"/>
      <c r="U113"/>
      <c r="V113"/>
      <c r="W113"/>
      <c r="X113"/>
      <c r="Y113"/>
      <c r="Z113"/>
      <c r="AA113"/>
      <c r="AB113"/>
      <c r="AC113"/>
      <c r="AD113"/>
      <c r="AE113"/>
      <c r="AF113"/>
    </row>
    <row r="114" spans="1:27" s="230" customFormat="1" ht="75">
      <c r="A114" s="805" t="s">
        <v>796</v>
      </c>
      <c r="B114" s="767" t="str">
        <f>'Weight sheet'!C59</f>
        <v> 4199035 / 4205811 / 4199129 / 4199163 / 4199130</v>
      </c>
      <c r="C114" s="767" t="str">
        <f>'Weight sheet'!D59</f>
        <v>52220 / 56905 / 55245 / 55321 / 55246</v>
      </c>
      <c r="D114" s="881">
        <f>'Weight sheet'!F59</f>
        <v>0</v>
      </c>
      <c r="E114" s="869">
        <f>'Weight sheet'!H59</f>
        <v>0</v>
      </c>
      <c r="F114" s="208">
        <f>E114*D114</f>
        <v>0</v>
      </c>
      <c r="G114" s="225">
        <v>56.37</v>
      </c>
      <c r="H114" s="208">
        <f>G114*2.54</f>
        <v>143.1798</v>
      </c>
      <c r="I114" s="132">
        <f>F114*H114</f>
        <v>0</v>
      </c>
      <c r="J114" s="226">
        <v>105.22</v>
      </c>
      <c r="K114" s="132">
        <f>J114*D114</f>
        <v>0</v>
      </c>
      <c r="L114" s="208">
        <f>G114</f>
        <v>56.37</v>
      </c>
      <c r="M114" s="208">
        <f>L114*2.54</f>
        <v>143.1798</v>
      </c>
      <c r="N114" s="132">
        <f>K114*M114</f>
        <v>0</v>
      </c>
      <c r="O114" s="210">
        <v>2.5</v>
      </c>
      <c r="P114" s="208">
        <f>O114*2.54</f>
        <v>6.35</v>
      </c>
      <c r="Q114" s="132">
        <f>F114*P114</f>
        <v>0</v>
      </c>
      <c r="R114" s="208">
        <f>K114*P114</f>
        <v>0</v>
      </c>
      <c r="S114" s="228"/>
      <c r="T114" s="228"/>
      <c r="U114" s="228"/>
      <c r="V114" s="229"/>
      <c r="W114" s="228"/>
      <c r="X114" s="228"/>
      <c r="Y114" s="228"/>
      <c r="Z114" s="228"/>
      <c r="AA114" s="228"/>
    </row>
    <row r="115" spans="1:27" s="230" customFormat="1" ht="16.5" customHeight="1">
      <c r="A115" s="255"/>
      <c r="B115" s="255"/>
      <c r="C115" s="536"/>
      <c r="D115" s="532"/>
      <c r="E115" s="533"/>
      <c r="F115" s="208"/>
      <c r="G115" s="225"/>
      <c r="H115" s="208"/>
      <c r="I115" s="132"/>
      <c r="J115" s="226"/>
      <c r="K115" s="132"/>
      <c r="L115" s="208"/>
      <c r="M115" s="208"/>
      <c r="N115" s="132"/>
      <c r="O115" s="210"/>
      <c r="P115" s="208"/>
      <c r="Q115" s="132"/>
      <c r="R115" s="208"/>
      <c r="S115" s="228"/>
      <c r="T115" s="228"/>
      <c r="U115" s="228"/>
      <c r="V115" s="229"/>
      <c r="W115" s="228"/>
      <c r="X115" s="228"/>
      <c r="Y115" s="228"/>
      <c r="Z115" s="228"/>
      <c r="AA115" s="228"/>
    </row>
    <row r="116" spans="1:27" s="239" customFormat="1" ht="16.5" customHeight="1">
      <c r="A116" s="241" t="s">
        <v>797</v>
      </c>
      <c r="B116" s="764">
        <f>'Weight sheet'!C62</f>
        <v>4192455</v>
      </c>
      <c r="C116" s="764">
        <f>'Weight sheet'!D62</f>
        <v>55482</v>
      </c>
      <c r="D116" s="521"/>
      <c r="E116" s="545"/>
      <c r="F116" s="208"/>
      <c r="G116" s="225"/>
      <c r="H116" s="208"/>
      <c r="I116" s="132"/>
      <c r="J116" s="226"/>
      <c r="K116" s="253"/>
      <c r="L116" s="227"/>
      <c r="M116" s="208"/>
      <c r="N116" s="132"/>
      <c r="O116" s="210"/>
      <c r="P116" s="208"/>
      <c r="Q116" s="132"/>
      <c r="R116" s="208"/>
      <c r="S116" s="283"/>
      <c r="T116" s="283"/>
      <c r="U116" s="283"/>
      <c r="V116" s="284"/>
      <c r="W116" s="283"/>
      <c r="X116" s="283"/>
      <c r="Y116" s="283"/>
      <c r="Z116" s="283"/>
      <c r="AA116" s="283"/>
    </row>
    <row r="117" spans="2:27" s="128" customFormat="1" ht="16.5" customHeight="1">
      <c r="B117" s="788" t="s">
        <v>865</v>
      </c>
      <c r="C117" s="790">
        <f>SUM(F119:F121)</f>
        <v>0</v>
      </c>
      <c r="D117" s="801" t="s">
        <v>986</v>
      </c>
      <c r="E117" s="554" t="s">
        <v>955</v>
      </c>
      <c r="F117" s="130"/>
      <c r="G117" s="269"/>
      <c r="H117" s="194"/>
      <c r="J117" s="270"/>
      <c r="L117" s="271"/>
      <c r="M117" s="194"/>
      <c r="N117" s="196"/>
      <c r="O117" s="272"/>
      <c r="P117" s="194"/>
      <c r="Q117" s="196"/>
      <c r="R117" s="194"/>
      <c r="S117" s="195"/>
      <c r="T117" s="195"/>
      <c r="U117" s="195"/>
      <c r="V117" s="196"/>
      <c r="W117" s="195"/>
      <c r="X117" s="195"/>
      <c r="Y117" s="195"/>
      <c r="Z117" s="195"/>
      <c r="AA117" s="195"/>
    </row>
    <row r="118" spans="2:32" s="241" customFormat="1" ht="16.5" customHeight="1">
      <c r="B118" s="809" t="s">
        <v>708</v>
      </c>
      <c r="C118" s="873">
        <f>'Weight sheet'!H64</f>
        <v>0</v>
      </c>
      <c r="D118" s="816" t="s">
        <v>986</v>
      </c>
      <c r="E118" s="531">
        <f>C118-C117</f>
        <v>0</v>
      </c>
      <c r="I118" s="242"/>
      <c r="O118" s="243"/>
      <c r="S118"/>
      <c r="T118"/>
      <c r="U118"/>
      <c r="V118"/>
      <c r="W118"/>
      <c r="X118"/>
      <c r="Y118"/>
      <c r="Z118"/>
      <c r="AA118"/>
      <c r="AB118"/>
      <c r="AC118"/>
      <c r="AD118"/>
      <c r="AE118"/>
      <c r="AF118"/>
    </row>
    <row r="119" spans="1:27" s="230" customFormat="1" ht="59.25" customHeight="1">
      <c r="A119" s="805" t="s">
        <v>800</v>
      </c>
      <c r="B119" s="767" t="str">
        <f>'Weight sheet'!C65</f>
        <v>4199047 / 4199435 / 4199129 /4199489 / 4199269</v>
      </c>
      <c r="C119" s="767" t="str">
        <f>'Weight sheet'!D65</f>
        <v>52356 / 55518/ 55245 / 56906 / 56911</v>
      </c>
      <c r="D119" s="881">
        <f>'Weight sheet'!F65</f>
        <v>0</v>
      </c>
      <c r="E119" s="869">
        <f>'Weight sheet'!H65</f>
        <v>0</v>
      </c>
      <c r="F119" s="208">
        <f>E119*D119</f>
        <v>0</v>
      </c>
      <c r="G119" s="225">
        <v>56.37</v>
      </c>
      <c r="H119" s="208">
        <f>G119*2.54</f>
        <v>143.1798</v>
      </c>
      <c r="I119" s="132">
        <f>F119*H119</f>
        <v>0</v>
      </c>
      <c r="J119" s="226">
        <v>164.7</v>
      </c>
      <c r="K119" s="132">
        <f>J119*D119</f>
        <v>0</v>
      </c>
      <c r="L119" s="208">
        <f>G119</f>
        <v>56.37</v>
      </c>
      <c r="M119" s="208">
        <f>L119*2.54</f>
        <v>143.1798</v>
      </c>
      <c r="N119" s="132">
        <f>K119*M119</f>
        <v>0</v>
      </c>
      <c r="O119" s="210">
        <v>2.5</v>
      </c>
      <c r="P119" s="208">
        <f>O119*2.54</f>
        <v>6.35</v>
      </c>
      <c r="Q119" s="132">
        <f>F119*P119</f>
        <v>0</v>
      </c>
      <c r="R119" s="208">
        <f>K119*P119</f>
        <v>0</v>
      </c>
      <c r="S119" s="228"/>
      <c r="T119" s="228"/>
      <c r="U119" s="228"/>
      <c r="V119" s="229"/>
      <c r="W119" s="228"/>
      <c r="X119" s="228"/>
      <c r="Y119" s="228"/>
      <c r="Z119" s="228"/>
      <c r="AA119" s="228"/>
    </row>
    <row r="120" spans="1:27" s="230" customFormat="1" ht="16.5" customHeight="1">
      <c r="A120" s="806" t="s">
        <v>801</v>
      </c>
      <c r="B120" s="766">
        <f>'Weight sheet'!C68</f>
        <v>4199353</v>
      </c>
      <c r="C120" s="766">
        <f>'Weight sheet'!D68</f>
        <v>52236</v>
      </c>
      <c r="D120" s="881">
        <f>'Weight sheet'!F68</f>
        <v>0</v>
      </c>
      <c r="E120" s="869">
        <f>'Weight sheet'!H68</f>
        <v>0</v>
      </c>
      <c r="F120" s="208">
        <f>E120*D120</f>
        <v>0</v>
      </c>
      <c r="G120" s="225">
        <v>50</v>
      </c>
      <c r="H120" s="208">
        <f>G120*2.54</f>
        <v>127</v>
      </c>
      <c r="I120" s="132">
        <f>F120*H120</f>
        <v>0</v>
      </c>
      <c r="J120" s="226">
        <v>29</v>
      </c>
      <c r="K120" s="132">
        <f>J120*D120</f>
        <v>0</v>
      </c>
      <c r="L120" s="208">
        <f>G120</f>
        <v>50</v>
      </c>
      <c r="M120" s="208">
        <f>L120*2.54</f>
        <v>127</v>
      </c>
      <c r="N120" s="132">
        <f>K120*M120</f>
        <v>0</v>
      </c>
      <c r="O120" s="210">
        <v>2</v>
      </c>
      <c r="P120" s="208">
        <f>O120*2.54</f>
        <v>5.08</v>
      </c>
      <c r="Q120" s="132">
        <f>F120*P120</f>
        <v>0</v>
      </c>
      <c r="R120" s="208">
        <f>K120*P120</f>
        <v>0</v>
      </c>
      <c r="S120" s="228"/>
      <c r="T120" s="228"/>
      <c r="U120" s="228"/>
      <c r="V120" s="229"/>
      <c r="W120" s="228"/>
      <c r="X120" s="228"/>
      <c r="Y120" s="228"/>
      <c r="Z120" s="228"/>
      <c r="AA120" s="228"/>
    </row>
    <row r="121" spans="1:27" s="239" customFormat="1" ht="16.5" customHeight="1">
      <c r="A121" s="806" t="s">
        <v>802</v>
      </c>
      <c r="B121" s="766">
        <f>'Weight sheet'!C69</f>
        <v>4199435</v>
      </c>
      <c r="C121" s="766">
        <f>'Weight sheet'!D69</f>
        <v>55518</v>
      </c>
      <c r="D121" s="813">
        <v>0</v>
      </c>
      <c r="E121" s="815" t="s">
        <v>655</v>
      </c>
      <c r="F121" s="208"/>
      <c r="G121" s="225"/>
      <c r="H121" s="208"/>
      <c r="I121" s="132"/>
      <c r="J121" s="226"/>
      <c r="K121" s="253"/>
      <c r="L121" s="227"/>
      <c r="M121" s="208"/>
      <c r="N121" s="132"/>
      <c r="O121" s="210"/>
      <c r="P121" s="208"/>
      <c r="Q121" s="132"/>
      <c r="R121" s="208"/>
      <c r="S121" s="283"/>
      <c r="T121" s="283"/>
      <c r="U121" s="283"/>
      <c r="V121" s="284"/>
      <c r="W121" s="283"/>
      <c r="X121" s="283"/>
      <c r="Y121" s="283"/>
      <c r="Z121" s="283"/>
      <c r="AA121" s="283"/>
    </row>
    <row r="122" spans="1:27" s="239" customFormat="1" ht="16.5" customHeight="1">
      <c r="A122" s="255"/>
      <c r="B122" s="255"/>
      <c r="C122" s="519"/>
      <c r="D122" s="532"/>
      <c r="E122" s="545"/>
      <c r="F122" s="208"/>
      <c r="G122" s="225"/>
      <c r="H122" s="208"/>
      <c r="I122" s="132"/>
      <c r="J122" s="226"/>
      <c r="K122" s="253"/>
      <c r="L122" s="227"/>
      <c r="M122" s="208"/>
      <c r="N122" s="132"/>
      <c r="O122" s="210"/>
      <c r="P122" s="208"/>
      <c r="Q122" s="132"/>
      <c r="R122" s="208"/>
      <c r="S122" s="283"/>
      <c r="T122" s="283"/>
      <c r="U122" s="283"/>
      <c r="V122" s="284"/>
      <c r="W122" s="283"/>
      <c r="X122" s="283"/>
      <c r="Y122" s="283"/>
      <c r="Z122" s="283"/>
      <c r="AA122" s="283"/>
    </row>
    <row r="123" spans="1:27" s="239" customFormat="1" ht="16.5" customHeight="1">
      <c r="A123" s="241" t="s">
        <v>803</v>
      </c>
      <c r="B123" s="241"/>
      <c r="C123" s="541"/>
      <c r="D123" s="532"/>
      <c r="E123" s="545"/>
      <c r="F123" s="208"/>
      <c r="G123" s="225"/>
      <c r="H123" s="208"/>
      <c r="I123" s="132"/>
      <c r="J123" s="226"/>
      <c r="K123" s="253"/>
      <c r="L123" s="227"/>
      <c r="M123" s="208"/>
      <c r="N123" s="132"/>
      <c r="O123" s="210"/>
      <c r="P123" s="208"/>
      <c r="Q123" s="132"/>
      <c r="R123" s="208"/>
      <c r="S123" s="283"/>
      <c r="T123" s="283"/>
      <c r="U123" s="283"/>
      <c r="V123" s="284"/>
      <c r="W123" s="283"/>
      <c r="X123" s="283"/>
      <c r="Y123" s="283"/>
      <c r="Z123" s="283"/>
      <c r="AA123" s="283"/>
    </row>
    <row r="124" spans="2:27" s="128" customFormat="1" ht="16.5" customHeight="1">
      <c r="B124" s="788" t="s">
        <v>865</v>
      </c>
      <c r="C124" s="790">
        <f>SUM(E126)</f>
        <v>0</v>
      </c>
      <c r="D124" s="801" t="s">
        <v>986</v>
      </c>
      <c r="E124" s="554" t="s">
        <v>955</v>
      </c>
      <c r="F124" s="130"/>
      <c r="G124" s="269"/>
      <c r="H124" s="194"/>
      <c r="J124" s="270"/>
      <c r="L124" s="271"/>
      <c r="M124" s="194"/>
      <c r="N124" s="196"/>
      <c r="O124" s="272"/>
      <c r="P124" s="194"/>
      <c r="Q124" s="196"/>
      <c r="R124" s="194"/>
      <c r="S124" s="195"/>
      <c r="T124" s="195"/>
      <c r="U124" s="195"/>
      <c r="V124" s="196"/>
      <c r="W124" s="195"/>
      <c r="X124" s="195"/>
      <c r="Y124" s="195"/>
      <c r="Z124" s="195"/>
      <c r="AA124" s="195"/>
    </row>
    <row r="125" spans="2:32" s="241" customFormat="1" ht="16.5" customHeight="1">
      <c r="B125" s="809" t="s">
        <v>708</v>
      </c>
      <c r="C125" s="810">
        <v>0</v>
      </c>
      <c r="D125" s="816" t="s">
        <v>986</v>
      </c>
      <c r="E125" s="531">
        <f>C125-C124</f>
        <v>0</v>
      </c>
      <c r="I125" s="242"/>
      <c r="O125" s="243"/>
      <c r="S125"/>
      <c r="T125"/>
      <c r="U125"/>
      <c r="V125"/>
      <c r="W125"/>
      <c r="X125"/>
      <c r="Y125"/>
      <c r="Z125"/>
      <c r="AA125"/>
      <c r="AB125"/>
      <c r="AC125"/>
      <c r="AD125"/>
      <c r="AE125"/>
      <c r="AF125"/>
    </row>
    <row r="126" spans="1:27" s="230" customFormat="1" ht="32.25" customHeight="1">
      <c r="A126" s="805" t="s">
        <v>805</v>
      </c>
      <c r="B126" s="805"/>
      <c r="C126" s="919" t="s">
        <v>168</v>
      </c>
      <c r="D126" s="813">
        <v>0</v>
      </c>
      <c r="E126" s="815">
        <v>0</v>
      </c>
      <c r="F126" s="208">
        <f>E126*D126</f>
        <v>0</v>
      </c>
      <c r="G126" s="225">
        <v>60.3</v>
      </c>
      <c r="H126" s="208">
        <f>G126*2.54</f>
        <v>153.162</v>
      </c>
      <c r="I126" s="132">
        <f>F126*H126</f>
        <v>0</v>
      </c>
      <c r="J126" s="226">
        <v>357.32</v>
      </c>
      <c r="K126" s="132">
        <f>J126*D126</f>
        <v>0</v>
      </c>
      <c r="L126" s="208">
        <f>G126</f>
        <v>60.3</v>
      </c>
      <c r="M126" s="208">
        <f>L126*2.54</f>
        <v>153.162</v>
      </c>
      <c r="N126" s="132">
        <f>K126*M126</f>
        <v>0</v>
      </c>
      <c r="O126" s="210">
        <v>1.4</v>
      </c>
      <c r="P126" s="208">
        <f>O126*2.54</f>
        <v>3.5559999999999996</v>
      </c>
      <c r="Q126" s="132">
        <f>F126*P126</f>
        <v>0</v>
      </c>
      <c r="R126" s="208">
        <f>K126*P126</f>
        <v>0</v>
      </c>
      <c r="S126" s="228"/>
      <c r="T126" s="228"/>
      <c r="U126" s="228"/>
      <c r="V126" s="229"/>
      <c r="W126" s="228"/>
      <c r="X126" s="228"/>
      <c r="Y126" s="228"/>
      <c r="Z126" s="228"/>
      <c r="AA126" s="228"/>
    </row>
    <row r="127" spans="1:27" s="230" customFormat="1" ht="18.75" customHeight="1">
      <c r="A127" s="949"/>
      <c r="B127" s="949"/>
      <c r="C127" s="950"/>
      <c r="D127" s="951"/>
      <c r="E127" s="952"/>
      <c r="F127" s="208"/>
      <c r="G127" s="225"/>
      <c r="H127" s="208"/>
      <c r="I127" s="132"/>
      <c r="J127" s="953"/>
      <c r="K127" s="132"/>
      <c r="L127" s="208"/>
      <c r="M127" s="208"/>
      <c r="N127" s="132"/>
      <c r="O127" s="954"/>
      <c r="P127" s="208"/>
      <c r="Q127" s="132"/>
      <c r="R127" s="208"/>
      <c r="S127" s="228"/>
      <c r="T127" s="228"/>
      <c r="U127" s="228"/>
      <c r="V127" s="229"/>
      <c r="W127" s="228"/>
      <c r="X127" s="228"/>
      <c r="Y127" s="228"/>
      <c r="Z127" s="228"/>
      <c r="AA127" s="228"/>
    </row>
    <row r="128" spans="1:27" s="239" customFormat="1" ht="16.5" customHeight="1">
      <c r="A128" s="241" t="s">
        <v>858</v>
      </c>
      <c r="C128" s="239" t="s">
        <v>804</v>
      </c>
      <c r="D128" s="955"/>
      <c r="E128" s="956"/>
      <c r="F128" s="208"/>
      <c r="G128" s="225"/>
      <c r="H128" s="208"/>
      <c r="I128" s="132"/>
      <c r="J128" s="953"/>
      <c r="K128" s="253"/>
      <c r="L128" s="227"/>
      <c r="M128" s="208"/>
      <c r="N128" s="132"/>
      <c r="O128" s="954"/>
      <c r="P128" s="208"/>
      <c r="Q128" s="132"/>
      <c r="R128" s="208"/>
      <c r="S128" s="283"/>
      <c r="T128" s="283"/>
      <c r="U128" s="283"/>
      <c r="V128" s="284"/>
      <c r="W128" s="283"/>
      <c r="X128" s="283"/>
      <c r="Y128" s="283"/>
      <c r="Z128" s="283"/>
      <c r="AA128" s="283"/>
    </row>
    <row r="129" spans="1:27" s="128" customFormat="1" ht="16.5" customHeight="1">
      <c r="A129" s="103"/>
      <c r="B129" s="957" t="s">
        <v>865</v>
      </c>
      <c r="C129" s="958">
        <f>SUM(E131)</f>
        <v>221</v>
      </c>
      <c r="D129" s="959" t="s">
        <v>986</v>
      </c>
      <c r="E129" s="960" t="s">
        <v>955</v>
      </c>
      <c r="F129" s="130"/>
      <c r="G129" s="269"/>
      <c r="H129" s="194"/>
      <c r="J129" s="961"/>
      <c r="L129" s="271"/>
      <c r="M129" s="194"/>
      <c r="N129" s="196"/>
      <c r="O129" s="962"/>
      <c r="P129" s="194"/>
      <c r="Q129" s="196"/>
      <c r="R129" s="194"/>
      <c r="S129" s="195"/>
      <c r="T129" s="195"/>
      <c r="U129" s="195"/>
      <c r="V129" s="196"/>
      <c r="W129" s="195"/>
      <c r="X129" s="195"/>
      <c r="Y129" s="195"/>
      <c r="Z129" s="195"/>
      <c r="AA129" s="195"/>
    </row>
    <row r="130" spans="1:32" s="241" customFormat="1" ht="16.5" customHeight="1">
      <c r="A130" s="239"/>
      <c r="B130" s="963" t="s">
        <v>708</v>
      </c>
      <c r="C130" s="964">
        <f>'Weight sheet'!G87</f>
        <v>221</v>
      </c>
      <c r="D130" s="965" t="s">
        <v>986</v>
      </c>
      <c r="E130" s="966">
        <f>C130-C129</f>
        <v>0</v>
      </c>
      <c r="I130" s="967"/>
      <c r="O130" s="968"/>
      <c r="S130"/>
      <c r="T130"/>
      <c r="U130"/>
      <c r="V130"/>
      <c r="W130"/>
      <c r="X130"/>
      <c r="Y130"/>
      <c r="Z130"/>
      <c r="AA130"/>
      <c r="AB130"/>
      <c r="AC130"/>
      <c r="AD130"/>
      <c r="AE130"/>
      <c r="AF130"/>
    </row>
    <row r="131" spans="1:27" s="230" customFormat="1" ht="32.25" customHeight="1">
      <c r="A131" s="969" t="s">
        <v>859</v>
      </c>
      <c r="B131" s="970"/>
      <c r="C131" s="971" t="s">
        <v>804</v>
      </c>
      <c r="D131" s="972">
        <f>'Weight sheet'!F88</f>
        <v>1</v>
      </c>
      <c r="E131" s="973">
        <f>'Weight sheet'!H88</f>
        <v>221</v>
      </c>
      <c r="F131" s="208">
        <f>E131*D131</f>
        <v>221</v>
      </c>
      <c r="G131" s="225">
        <v>60.27</v>
      </c>
      <c r="H131" s="208">
        <f>G131*2.54</f>
        <v>153.0858</v>
      </c>
      <c r="I131" s="132">
        <f>F131*H131</f>
        <v>33831.961800000005</v>
      </c>
      <c r="J131" s="953">
        <v>147.5</v>
      </c>
      <c r="K131" s="132">
        <f>J131*D131</f>
        <v>147.5</v>
      </c>
      <c r="L131" s="208">
        <f>G131</f>
        <v>60.27</v>
      </c>
      <c r="M131" s="208">
        <f>L131*2.54</f>
        <v>153.0858</v>
      </c>
      <c r="N131" s="132">
        <f>K131*M131</f>
        <v>22580.1555</v>
      </c>
      <c r="O131" s="954">
        <v>1.4</v>
      </c>
      <c r="P131" s="208">
        <f>O131*2.54</f>
        <v>3.5559999999999996</v>
      </c>
      <c r="Q131" s="132">
        <f>F131*P131</f>
        <v>785.8759999999999</v>
      </c>
      <c r="R131" s="208">
        <f>K131*P131</f>
        <v>524.51</v>
      </c>
      <c r="S131" s="228"/>
      <c r="T131" s="228"/>
      <c r="U131" s="228"/>
      <c r="V131" s="229"/>
      <c r="W131" s="228"/>
      <c r="X131" s="228"/>
      <c r="Y131" s="228"/>
      <c r="Z131" s="228"/>
      <c r="AA131" s="228"/>
    </row>
    <row r="132" spans="1:27" s="230" customFormat="1" ht="16.5" customHeight="1">
      <c r="A132" s="254"/>
      <c r="B132" s="254"/>
      <c r="C132" s="974"/>
      <c r="D132" s="975"/>
      <c r="E132" s="976"/>
      <c r="F132" s="208"/>
      <c r="G132" s="225"/>
      <c r="H132" s="208"/>
      <c r="I132" s="132"/>
      <c r="J132" s="226"/>
      <c r="K132" s="132"/>
      <c r="L132" s="208"/>
      <c r="M132" s="208"/>
      <c r="N132" s="132"/>
      <c r="O132" s="210"/>
      <c r="P132" s="208"/>
      <c r="Q132" s="132"/>
      <c r="R132" s="208"/>
      <c r="S132" s="228"/>
      <c r="T132" s="228"/>
      <c r="U132" s="228"/>
      <c r="V132" s="229"/>
      <c r="W132" s="228"/>
      <c r="X132" s="228"/>
      <c r="Y132" s="228"/>
      <c r="Z132" s="228"/>
      <c r="AA132" s="228"/>
    </row>
    <row r="133" spans="1:27" s="239" customFormat="1" ht="16.5" customHeight="1">
      <c r="A133" s="241" t="s">
        <v>89</v>
      </c>
      <c r="B133" s="764">
        <f>'Weight sheet'!C78</f>
        <v>4192457</v>
      </c>
      <c r="C133" s="764">
        <f>'Weight sheet'!D78</f>
        <v>55521</v>
      </c>
      <c r="D133" s="521"/>
      <c r="E133" s="545"/>
      <c r="F133" s="208"/>
      <c r="G133" s="225"/>
      <c r="H133" s="208"/>
      <c r="I133" s="132"/>
      <c r="J133" s="226"/>
      <c r="K133" s="253"/>
      <c r="L133" s="227"/>
      <c r="M133" s="208"/>
      <c r="N133" s="132"/>
      <c r="O133" s="210"/>
      <c r="P133" s="208"/>
      <c r="Q133" s="132"/>
      <c r="R133" s="208"/>
      <c r="S133" s="283"/>
      <c r="T133" s="283"/>
      <c r="U133" s="283"/>
      <c r="V133" s="284"/>
      <c r="W133" s="283"/>
      <c r="X133" s="283"/>
      <c r="Y133" s="283"/>
      <c r="Z133" s="283"/>
      <c r="AA133" s="283"/>
    </row>
    <row r="134" spans="2:27" s="128" customFormat="1" ht="16.5" customHeight="1">
      <c r="B134" s="788" t="s">
        <v>865</v>
      </c>
      <c r="C134" s="790">
        <f>SUM(E136)</f>
        <v>0</v>
      </c>
      <c r="D134" s="801" t="s">
        <v>986</v>
      </c>
      <c r="E134" s="554" t="s">
        <v>955</v>
      </c>
      <c r="F134" s="130"/>
      <c r="G134" s="269"/>
      <c r="H134" s="194"/>
      <c r="J134" s="270"/>
      <c r="L134" s="271"/>
      <c r="M134" s="194"/>
      <c r="N134" s="196"/>
      <c r="O134" s="272"/>
      <c r="P134" s="194"/>
      <c r="Q134" s="196"/>
      <c r="R134" s="194"/>
      <c r="S134" s="195"/>
      <c r="T134" s="195"/>
      <c r="U134" s="195"/>
      <c r="V134" s="196"/>
      <c r="W134" s="195"/>
      <c r="X134" s="195"/>
      <c r="Y134" s="195"/>
      <c r="Z134" s="195"/>
      <c r="AA134" s="195"/>
    </row>
    <row r="135" spans="2:32" s="241" customFormat="1" ht="16.5" customHeight="1">
      <c r="B135" s="809" t="s">
        <v>708</v>
      </c>
      <c r="C135" s="873">
        <f>'Weight sheet'!H73</f>
        <v>0</v>
      </c>
      <c r="D135" s="816" t="s">
        <v>986</v>
      </c>
      <c r="E135" s="531">
        <f>C135-C134</f>
        <v>0</v>
      </c>
      <c r="I135" s="242"/>
      <c r="O135" s="243"/>
      <c r="S135"/>
      <c r="T135"/>
      <c r="U135"/>
      <c r="V135"/>
      <c r="W135"/>
      <c r="X135"/>
      <c r="Y135"/>
      <c r="Z135"/>
      <c r="AA135"/>
      <c r="AB135"/>
      <c r="AC135"/>
      <c r="AD135"/>
      <c r="AE135"/>
      <c r="AF135"/>
    </row>
    <row r="136" spans="1:27" s="230" customFormat="1" ht="32.25" customHeight="1">
      <c r="A136" s="805" t="s">
        <v>676</v>
      </c>
      <c r="B136" s="767" t="str">
        <f>'Weight sheet'!C81</f>
        <v>4199039 / 4199388 / 4199129</v>
      </c>
      <c r="C136" s="767" t="str">
        <f>'Weight sheet'!D81</f>
        <v>52296 / 52312 / 55245</v>
      </c>
      <c r="D136" s="881">
        <f>'Weight sheet'!F74</f>
        <v>0</v>
      </c>
      <c r="E136" s="869">
        <f>'Weight sheet'!H74</f>
        <v>0</v>
      </c>
      <c r="F136" s="208">
        <f>E136*D136</f>
        <v>0</v>
      </c>
      <c r="G136" s="225">
        <v>60.15</v>
      </c>
      <c r="H136" s="208">
        <f>G136*2.54</f>
        <v>152.781</v>
      </c>
      <c r="I136" s="132">
        <f>F136*H136</f>
        <v>0</v>
      </c>
      <c r="J136" s="226">
        <v>178.84</v>
      </c>
      <c r="K136" s="132">
        <f>J136*D136</f>
        <v>0</v>
      </c>
      <c r="L136" s="208">
        <f>G136</f>
        <v>60.15</v>
      </c>
      <c r="M136" s="208">
        <f>L136*2.54</f>
        <v>152.781</v>
      </c>
      <c r="N136" s="132">
        <f>K136*M136</f>
        <v>0</v>
      </c>
      <c r="O136" s="210">
        <v>-1.237</v>
      </c>
      <c r="P136" s="208">
        <f>O136*2.54</f>
        <v>-3.14198</v>
      </c>
      <c r="Q136" s="132">
        <f>F136*P136</f>
        <v>0</v>
      </c>
      <c r="R136" s="208">
        <f>K136*P136</f>
        <v>0</v>
      </c>
      <c r="S136" s="228"/>
      <c r="T136" s="228"/>
      <c r="U136" s="228"/>
      <c r="V136" s="229"/>
      <c r="W136" s="228"/>
      <c r="X136" s="228"/>
      <c r="Y136" s="228"/>
      <c r="Z136" s="228"/>
      <c r="AA136" s="228"/>
    </row>
    <row r="137" spans="1:27" s="230" customFormat="1" ht="16.5" customHeight="1">
      <c r="A137" s="805" t="s">
        <v>807</v>
      </c>
      <c r="B137" s="767">
        <f>'Weight sheet'!C83</f>
        <v>4199254</v>
      </c>
      <c r="C137" s="767">
        <f>'Weight sheet'!D83</f>
        <v>55520</v>
      </c>
      <c r="D137" s="813">
        <v>0</v>
      </c>
      <c r="E137" s="815" t="s">
        <v>655</v>
      </c>
      <c r="F137" s="208"/>
      <c r="G137" s="225"/>
      <c r="H137" s="208"/>
      <c r="I137" s="132"/>
      <c r="J137" s="226"/>
      <c r="K137" s="132"/>
      <c r="L137" s="208"/>
      <c r="M137" s="208"/>
      <c r="N137" s="132"/>
      <c r="O137" s="210"/>
      <c r="P137" s="208"/>
      <c r="Q137" s="132"/>
      <c r="R137" s="208"/>
      <c r="S137" s="228"/>
      <c r="T137" s="228"/>
      <c r="U137" s="228"/>
      <c r="V137" s="229"/>
      <c r="W137" s="228"/>
      <c r="X137" s="228"/>
      <c r="Y137" s="228"/>
      <c r="Z137" s="228"/>
      <c r="AA137" s="228"/>
    </row>
    <row r="138" spans="1:27" s="230" customFormat="1" ht="16.5" customHeight="1">
      <c r="A138" s="254"/>
      <c r="B138" s="819"/>
      <c r="C138" s="820"/>
      <c r="D138" s="818"/>
      <c r="E138" s="533"/>
      <c r="F138" s="208"/>
      <c r="G138" s="225"/>
      <c r="H138" s="208"/>
      <c r="I138" s="132"/>
      <c r="J138" s="226"/>
      <c r="K138" s="132"/>
      <c r="L138" s="208"/>
      <c r="M138" s="208"/>
      <c r="N138" s="132"/>
      <c r="O138" s="210"/>
      <c r="P138" s="208"/>
      <c r="Q138" s="132"/>
      <c r="R138" s="208"/>
      <c r="S138" s="228"/>
      <c r="T138" s="228"/>
      <c r="U138" s="228"/>
      <c r="V138" s="229"/>
      <c r="W138" s="228"/>
      <c r="X138" s="228"/>
      <c r="Y138" s="228"/>
      <c r="Z138" s="228"/>
      <c r="AA138" s="228"/>
    </row>
    <row r="139" spans="1:27" s="239" customFormat="1" ht="16.5" customHeight="1">
      <c r="A139" s="241" t="s">
        <v>90</v>
      </c>
      <c r="B139" s="764">
        <f>'Weight sheet'!C78</f>
        <v>4192457</v>
      </c>
      <c r="C139" s="764">
        <f>'Weight sheet'!D78</f>
        <v>55521</v>
      </c>
      <c r="D139" s="521"/>
      <c r="E139" s="545"/>
      <c r="F139" s="208"/>
      <c r="G139" s="225"/>
      <c r="H139" s="208"/>
      <c r="I139" s="132"/>
      <c r="J139" s="226"/>
      <c r="K139" s="253"/>
      <c r="L139" s="227"/>
      <c r="M139" s="208"/>
      <c r="N139" s="132"/>
      <c r="O139" s="210"/>
      <c r="P139" s="208"/>
      <c r="Q139" s="132"/>
      <c r="R139" s="208"/>
      <c r="S139" s="283"/>
      <c r="T139" s="283"/>
      <c r="U139" s="283"/>
      <c r="V139" s="284"/>
      <c r="W139" s="283"/>
      <c r="X139" s="283"/>
      <c r="Y139" s="283"/>
      <c r="Z139" s="283"/>
      <c r="AA139" s="283"/>
    </row>
    <row r="140" spans="2:27" s="128" customFormat="1" ht="16.5" customHeight="1">
      <c r="B140" s="788" t="s">
        <v>865</v>
      </c>
      <c r="C140" s="790">
        <f>SUM(E142)</f>
        <v>0</v>
      </c>
      <c r="D140" s="801" t="s">
        <v>986</v>
      </c>
      <c r="E140" s="554" t="s">
        <v>955</v>
      </c>
      <c r="F140" s="130"/>
      <c r="G140" s="269"/>
      <c r="H140" s="194"/>
      <c r="J140" s="270"/>
      <c r="L140" s="271"/>
      <c r="M140" s="194"/>
      <c r="N140" s="196"/>
      <c r="O140" s="272"/>
      <c r="P140" s="194"/>
      <c r="Q140" s="196"/>
      <c r="R140" s="194"/>
      <c r="S140" s="195"/>
      <c r="T140" s="195"/>
      <c r="U140" s="195"/>
      <c r="V140" s="196"/>
      <c r="W140" s="195"/>
      <c r="X140" s="195"/>
      <c r="Y140" s="195"/>
      <c r="Z140" s="195"/>
      <c r="AA140" s="195"/>
    </row>
    <row r="141" spans="2:32" s="241" customFormat="1" ht="16.5" customHeight="1">
      <c r="B141" s="809" t="s">
        <v>708</v>
      </c>
      <c r="C141" s="873">
        <f>'Weight sheet'!H80</f>
        <v>0</v>
      </c>
      <c r="D141" s="816" t="s">
        <v>986</v>
      </c>
      <c r="E141" s="531">
        <f>C141-C140</f>
        <v>0</v>
      </c>
      <c r="I141" s="242"/>
      <c r="O141" s="243"/>
      <c r="S141"/>
      <c r="T141"/>
      <c r="U141"/>
      <c r="V141"/>
      <c r="W141"/>
      <c r="X141"/>
      <c r="Y141"/>
      <c r="Z141"/>
      <c r="AA141"/>
      <c r="AB141"/>
      <c r="AC141"/>
      <c r="AD141"/>
      <c r="AE141"/>
      <c r="AF141"/>
    </row>
    <row r="142" spans="1:27" s="230" customFormat="1" ht="32.25" customHeight="1">
      <c r="A142" s="805" t="s">
        <v>676</v>
      </c>
      <c r="B142" s="767" t="str">
        <f>'Weight sheet'!C81</f>
        <v>4199039 / 4199388 / 4199129</v>
      </c>
      <c r="C142" s="767" t="str">
        <f>'Weight sheet'!D81</f>
        <v>52296 / 52312 / 55245</v>
      </c>
      <c r="D142" s="881">
        <f>'Weight sheet'!F81</f>
        <v>0</v>
      </c>
      <c r="E142" s="869">
        <f>'Weight sheet'!H81</f>
        <v>0</v>
      </c>
      <c r="F142" s="208">
        <f>E142*D142</f>
        <v>0</v>
      </c>
      <c r="G142" s="225">
        <v>62.33</v>
      </c>
      <c r="H142" s="208">
        <f>G142*2.54</f>
        <v>158.3182</v>
      </c>
      <c r="I142" s="132">
        <f>F142*H142</f>
        <v>0</v>
      </c>
      <c r="J142" s="226">
        <v>237.64</v>
      </c>
      <c r="K142" s="132">
        <f>J142*D142</f>
        <v>0</v>
      </c>
      <c r="L142" s="208">
        <f>G142</f>
        <v>62.33</v>
      </c>
      <c r="M142" s="208">
        <f>L142*2.54</f>
        <v>158.3182</v>
      </c>
      <c r="N142" s="132">
        <f>K142*M142</f>
        <v>0</v>
      </c>
      <c r="O142" s="210">
        <v>-1.237</v>
      </c>
      <c r="P142" s="208">
        <f>O142*2.54</f>
        <v>-3.14198</v>
      </c>
      <c r="Q142" s="132">
        <f>F142*P142</f>
        <v>0</v>
      </c>
      <c r="R142" s="208">
        <f>K142*P142</f>
        <v>0</v>
      </c>
      <c r="S142" s="228"/>
      <c r="T142" s="228"/>
      <c r="U142" s="228"/>
      <c r="V142" s="229"/>
      <c r="W142" s="228"/>
      <c r="X142" s="228"/>
      <c r="Y142" s="228"/>
      <c r="Z142" s="228"/>
      <c r="AA142" s="228"/>
    </row>
    <row r="143" spans="1:27" s="230" customFormat="1" ht="16.5" customHeight="1">
      <c r="A143" s="805" t="s">
        <v>807</v>
      </c>
      <c r="B143" s="767">
        <f>'Weight sheet'!C83</f>
        <v>4199254</v>
      </c>
      <c r="C143" s="767">
        <f>'Weight sheet'!D83</f>
        <v>55520</v>
      </c>
      <c r="D143" s="813">
        <v>0</v>
      </c>
      <c r="E143" s="815" t="s">
        <v>655</v>
      </c>
      <c r="F143" s="208"/>
      <c r="G143" s="225"/>
      <c r="H143" s="208"/>
      <c r="I143" s="132"/>
      <c r="J143" s="226"/>
      <c r="K143" s="132"/>
      <c r="L143" s="208"/>
      <c r="M143" s="208"/>
      <c r="N143" s="132"/>
      <c r="O143" s="210"/>
      <c r="P143" s="208"/>
      <c r="Q143" s="132"/>
      <c r="R143" s="208"/>
      <c r="S143" s="228"/>
      <c r="T143" s="228"/>
      <c r="U143" s="228"/>
      <c r="V143" s="229"/>
      <c r="W143" s="228"/>
      <c r="X143" s="228"/>
      <c r="Y143" s="228"/>
      <c r="Z143" s="228"/>
      <c r="AA143" s="228"/>
    </row>
    <row r="144" spans="1:27" s="230" customFormat="1" ht="16.5" customHeight="1">
      <c r="A144" s="254"/>
      <c r="B144" s="254"/>
      <c r="C144" s="556"/>
      <c r="D144" s="532"/>
      <c r="E144" s="533"/>
      <c r="F144" s="208"/>
      <c r="G144" s="225"/>
      <c r="H144" s="208"/>
      <c r="I144" s="132"/>
      <c r="J144" s="226"/>
      <c r="K144" s="132"/>
      <c r="L144" s="208"/>
      <c r="M144" s="208"/>
      <c r="N144" s="132"/>
      <c r="O144" s="210"/>
      <c r="P144" s="208"/>
      <c r="Q144" s="132"/>
      <c r="R144" s="208"/>
      <c r="S144" s="228"/>
      <c r="T144" s="228"/>
      <c r="U144" s="228"/>
      <c r="V144" s="229"/>
      <c r="W144" s="228"/>
      <c r="X144" s="228"/>
      <c r="Y144" s="228"/>
      <c r="Z144" s="228"/>
      <c r="AA144" s="228"/>
    </row>
    <row r="145" spans="1:22" s="109" customFormat="1" ht="16.5" customHeight="1" thickBot="1">
      <c r="A145" s="285"/>
      <c r="B145" s="777"/>
      <c r="C145" s="778"/>
      <c r="D145" s="534"/>
      <c r="E145" s="547"/>
      <c r="F145" s="258"/>
      <c r="G145" s="259"/>
      <c r="H145" s="258"/>
      <c r="I145" s="260"/>
      <c r="J145" s="286"/>
      <c r="K145" s="260"/>
      <c r="L145" s="262"/>
      <c r="M145" s="258"/>
      <c r="N145" s="260"/>
      <c r="O145" s="263"/>
      <c r="P145" s="258"/>
      <c r="Q145" s="260"/>
      <c r="R145" s="258"/>
      <c r="V145" s="132"/>
    </row>
    <row r="146" spans="1:22" s="109" customFormat="1" ht="16.5" customHeight="1" thickTop="1">
      <c r="A146" s="287" t="s">
        <v>677</v>
      </c>
      <c r="B146" s="764">
        <f>'Weight sheet'!C91</f>
        <v>4199431</v>
      </c>
      <c r="C146" s="764">
        <f>'Weight sheet'!D91</f>
        <v>55486</v>
      </c>
      <c r="D146" s="521"/>
      <c r="E146" s="545"/>
      <c r="F146" s="204"/>
      <c r="G146" s="250"/>
      <c r="H146" s="204"/>
      <c r="I146" s="246"/>
      <c r="J146" s="288"/>
      <c r="K146" s="246"/>
      <c r="L146" s="123"/>
      <c r="M146" s="204"/>
      <c r="N146" s="246"/>
      <c r="O146" s="210"/>
      <c r="P146" s="204"/>
      <c r="Q146" s="246"/>
      <c r="R146" s="204"/>
      <c r="V146" s="132"/>
    </row>
    <row r="147" spans="2:22" s="295" customFormat="1" ht="18" customHeight="1">
      <c r="B147" s="791" t="s">
        <v>865</v>
      </c>
      <c r="C147" s="792">
        <f>C165+C285+C294+C311+C323+SUM(F150:F161)</f>
        <v>38533.9</v>
      </c>
      <c r="D147" s="801" t="s">
        <v>986</v>
      </c>
      <c r="E147" s="557" t="s">
        <v>955</v>
      </c>
      <c r="F147" s="289"/>
      <c r="G147" s="290"/>
      <c r="H147" s="289"/>
      <c r="I147" s="291"/>
      <c r="J147" s="292"/>
      <c r="K147" s="291"/>
      <c r="L147" s="293"/>
      <c r="M147" s="289"/>
      <c r="N147" s="291"/>
      <c r="O147" s="294"/>
      <c r="P147" s="289"/>
      <c r="Q147" s="291"/>
      <c r="R147" s="289"/>
      <c r="V147" s="291"/>
    </row>
    <row r="148" spans="2:22" s="302" customFormat="1" ht="16.5" customHeight="1">
      <c r="B148" s="791" t="s">
        <v>708</v>
      </c>
      <c r="C148" s="874">
        <f>'Weight sheet'!H93</f>
        <v>38552.7</v>
      </c>
      <c r="D148" s="801" t="s">
        <v>986</v>
      </c>
      <c r="E148" s="531">
        <f>C148-C147</f>
        <v>18.799999999995634</v>
      </c>
      <c r="F148" s="204"/>
      <c r="G148" s="296"/>
      <c r="H148" s="297"/>
      <c r="I148" s="298"/>
      <c r="J148" s="292"/>
      <c r="K148" s="298"/>
      <c r="L148" s="299"/>
      <c r="M148" s="297"/>
      <c r="N148" s="298"/>
      <c r="O148" s="300"/>
      <c r="P148" s="297"/>
      <c r="Q148" s="298"/>
      <c r="R148" s="301"/>
      <c r="S148" s="468">
        <f>SUM(K150:K337)</f>
        <v>42643.84136954546</v>
      </c>
      <c r="V148" s="303"/>
    </row>
    <row r="149" spans="1:22" s="302" customFormat="1" ht="16.5" customHeight="1">
      <c r="A149" s="287" t="s">
        <v>678</v>
      </c>
      <c r="B149" s="287"/>
      <c r="C149" s="543">
        <v>42708.559363913104</v>
      </c>
      <c r="D149" s="529" t="s">
        <v>957</v>
      </c>
      <c r="E149" s="559"/>
      <c r="F149" s="204"/>
      <c r="G149" s="296"/>
      <c r="H149" s="297"/>
      <c r="I149" s="298"/>
      <c r="J149" s="292"/>
      <c r="K149" s="298"/>
      <c r="L149" s="299"/>
      <c r="M149" s="297"/>
      <c r="N149" s="298"/>
      <c r="O149" s="300"/>
      <c r="P149" s="297"/>
      <c r="Q149" s="298"/>
      <c r="R149" s="301"/>
      <c r="V149" s="303"/>
    </row>
    <row r="150" spans="1:22" s="109" customFormat="1" ht="16.5" customHeight="1">
      <c r="A150" s="806" t="s">
        <v>679</v>
      </c>
      <c r="B150" s="766">
        <f>'Weight sheet'!C95</f>
        <v>4199651</v>
      </c>
      <c r="C150" s="766">
        <f>'Weight sheet'!D95</f>
        <v>55309</v>
      </c>
      <c r="D150" s="881">
        <f>'Weight sheet'!F95</f>
        <v>1</v>
      </c>
      <c r="E150" s="869">
        <f>'Weight sheet'!H95</f>
        <v>7.4</v>
      </c>
      <c r="F150" s="208">
        <f aca="true" t="shared" si="31" ref="F150:F161">E150*D150</f>
        <v>7.4</v>
      </c>
      <c r="G150" s="225">
        <v>51.75</v>
      </c>
      <c r="H150" s="208">
        <f aca="true" t="shared" si="32" ref="H150:H161">G150*2.54</f>
        <v>131.445</v>
      </c>
      <c r="I150" s="132">
        <f aca="true" t="shared" si="33" ref="I150:I161">F150*H150</f>
        <v>972.693</v>
      </c>
      <c r="J150" s="209">
        <f>D150*3.7</f>
        <v>3.7</v>
      </c>
      <c r="K150" s="208">
        <f aca="true" t="shared" si="34" ref="K150:K161">J150*D150</f>
        <v>3.7</v>
      </c>
      <c r="L150" s="208">
        <f aca="true" t="shared" si="35" ref="L150:L161">G150</f>
        <v>51.75</v>
      </c>
      <c r="M150" s="208">
        <f aca="true" t="shared" si="36" ref="M150:M161">L150*2.54</f>
        <v>131.445</v>
      </c>
      <c r="N150" s="132">
        <f aca="true" t="shared" si="37" ref="N150:N161">K150*M150</f>
        <v>486.3465</v>
      </c>
      <c r="O150" s="210">
        <v>0</v>
      </c>
      <c r="P150" s="208">
        <f aca="true" t="shared" si="38" ref="P150:P161">O150*2.54</f>
        <v>0</v>
      </c>
      <c r="Q150" s="132">
        <f aca="true" t="shared" si="39" ref="Q150:Q161">F150*P150</f>
        <v>0</v>
      </c>
      <c r="R150" s="208">
        <f aca="true" t="shared" si="40" ref="R150:R161">K150*P150</f>
        <v>0</v>
      </c>
      <c r="V150" s="132"/>
    </row>
    <row r="151" spans="1:22" s="109" customFormat="1" ht="16.5" customHeight="1">
      <c r="A151" s="806" t="s">
        <v>680</v>
      </c>
      <c r="B151" s="766">
        <f>'Weight sheet'!C96</f>
        <v>4199651</v>
      </c>
      <c r="C151" s="766">
        <f>'Weight sheet'!D96</f>
        <v>55309</v>
      </c>
      <c r="D151" s="881">
        <f>'Weight sheet'!F96</f>
        <v>1</v>
      </c>
      <c r="E151" s="869">
        <f>'Weight sheet'!H96</f>
        <v>7.4</v>
      </c>
      <c r="F151" s="208">
        <f t="shared" si="31"/>
        <v>7.4</v>
      </c>
      <c r="G151" s="225">
        <v>51.75</v>
      </c>
      <c r="H151" s="208">
        <f t="shared" si="32"/>
        <v>131.445</v>
      </c>
      <c r="I151" s="132">
        <f t="shared" si="33"/>
        <v>972.693</v>
      </c>
      <c r="J151" s="209">
        <f>D151*3.7</f>
        <v>3.7</v>
      </c>
      <c r="K151" s="208">
        <f t="shared" si="34"/>
        <v>3.7</v>
      </c>
      <c r="L151" s="208">
        <f t="shared" si="35"/>
        <v>51.75</v>
      </c>
      <c r="M151" s="208">
        <f t="shared" si="36"/>
        <v>131.445</v>
      </c>
      <c r="N151" s="132">
        <f t="shared" si="37"/>
        <v>486.3465</v>
      </c>
      <c r="O151" s="210">
        <v>-1.7</v>
      </c>
      <c r="P151" s="208">
        <f t="shared" si="38"/>
        <v>-4.318</v>
      </c>
      <c r="Q151" s="132">
        <f t="shared" si="39"/>
        <v>-31.9532</v>
      </c>
      <c r="R151" s="208">
        <f t="shared" si="40"/>
        <v>-15.9766</v>
      </c>
      <c r="V151" s="132"/>
    </row>
    <row r="152" spans="1:22" s="109" customFormat="1" ht="16.5" customHeight="1">
      <c r="A152" s="806" t="s">
        <v>681</v>
      </c>
      <c r="B152" s="766">
        <f>'Weight sheet'!C97</f>
        <v>4199651</v>
      </c>
      <c r="C152" s="766">
        <f>'Weight sheet'!D97</f>
        <v>55309</v>
      </c>
      <c r="D152" s="881">
        <f>'Weight sheet'!F97</f>
        <v>1</v>
      </c>
      <c r="E152" s="869">
        <f>'Weight sheet'!H97</f>
        <v>7.4</v>
      </c>
      <c r="F152" s="208">
        <f t="shared" si="31"/>
        <v>7.4</v>
      </c>
      <c r="G152" s="225">
        <v>51.75</v>
      </c>
      <c r="H152" s="208">
        <f t="shared" si="32"/>
        <v>131.445</v>
      </c>
      <c r="I152" s="132">
        <f t="shared" si="33"/>
        <v>972.693</v>
      </c>
      <c r="J152" s="209">
        <f>D152*3.7</f>
        <v>3.7</v>
      </c>
      <c r="K152" s="208">
        <f t="shared" si="34"/>
        <v>3.7</v>
      </c>
      <c r="L152" s="208">
        <f t="shared" si="35"/>
        <v>51.75</v>
      </c>
      <c r="M152" s="208">
        <f t="shared" si="36"/>
        <v>131.445</v>
      </c>
      <c r="N152" s="132">
        <f t="shared" si="37"/>
        <v>486.3465</v>
      </c>
      <c r="O152" s="210">
        <v>-2.3</v>
      </c>
      <c r="P152" s="208">
        <f t="shared" si="38"/>
        <v>-5.842</v>
      </c>
      <c r="Q152" s="132">
        <f t="shared" si="39"/>
        <v>-43.2308</v>
      </c>
      <c r="R152" s="208">
        <f t="shared" si="40"/>
        <v>-21.6154</v>
      </c>
      <c r="V152" s="132"/>
    </row>
    <row r="153" spans="1:22" s="109" customFormat="1" ht="16.5" customHeight="1">
      <c r="A153" s="806" t="s">
        <v>682</v>
      </c>
      <c r="B153" s="766">
        <f>'Weight sheet'!C98</f>
        <v>4199651</v>
      </c>
      <c r="C153" s="766">
        <f>'Weight sheet'!D98</f>
        <v>55309</v>
      </c>
      <c r="D153" s="881">
        <f>'Weight sheet'!F98</f>
        <v>1</v>
      </c>
      <c r="E153" s="869">
        <f>'Weight sheet'!H98</f>
        <v>7.4</v>
      </c>
      <c r="F153" s="208">
        <f t="shared" si="31"/>
        <v>7.4</v>
      </c>
      <c r="G153" s="225">
        <v>51.75</v>
      </c>
      <c r="H153" s="208">
        <f t="shared" si="32"/>
        <v>131.445</v>
      </c>
      <c r="I153" s="132">
        <f t="shared" si="33"/>
        <v>972.693</v>
      </c>
      <c r="J153" s="209">
        <f>D153*3.7</f>
        <v>3.7</v>
      </c>
      <c r="K153" s="208">
        <f t="shared" si="34"/>
        <v>3.7</v>
      </c>
      <c r="L153" s="208">
        <f t="shared" si="35"/>
        <v>51.75</v>
      </c>
      <c r="M153" s="208">
        <f t="shared" si="36"/>
        <v>131.445</v>
      </c>
      <c r="N153" s="132">
        <f t="shared" si="37"/>
        <v>486.3465</v>
      </c>
      <c r="O153" s="210">
        <v>-1.7</v>
      </c>
      <c r="P153" s="208">
        <f t="shared" si="38"/>
        <v>-4.318</v>
      </c>
      <c r="Q153" s="132">
        <f t="shared" si="39"/>
        <v>-31.9532</v>
      </c>
      <c r="R153" s="208">
        <f t="shared" si="40"/>
        <v>-15.9766</v>
      </c>
      <c r="V153" s="132"/>
    </row>
    <row r="154" spans="1:22" s="109" customFormat="1" ht="16.5" customHeight="1">
      <c r="A154" s="806" t="s">
        <v>683</v>
      </c>
      <c r="B154" s="766">
        <f>'Weight sheet'!C99</f>
        <v>4199651</v>
      </c>
      <c r="C154" s="766">
        <f>'Weight sheet'!D99</f>
        <v>55309</v>
      </c>
      <c r="D154" s="881">
        <f>'Weight sheet'!F99</f>
        <v>1</v>
      </c>
      <c r="E154" s="869">
        <f>'Weight sheet'!H99</f>
        <v>7.4</v>
      </c>
      <c r="F154" s="208">
        <f t="shared" si="31"/>
        <v>7.4</v>
      </c>
      <c r="G154" s="225">
        <v>51.75</v>
      </c>
      <c r="H154" s="208">
        <f t="shared" si="32"/>
        <v>131.445</v>
      </c>
      <c r="I154" s="132">
        <f t="shared" si="33"/>
        <v>972.693</v>
      </c>
      <c r="J154" s="209">
        <v>3.7</v>
      </c>
      <c r="K154" s="208">
        <f t="shared" si="34"/>
        <v>3.7</v>
      </c>
      <c r="L154" s="208">
        <f t="shared" si="35"/>
        <v>51.75</v>
      </c>
      <c r="M154" s="208">
        <f t="shared" si="36"/>
        <v>131.445</v>
      </c>
      <c r="N154" s="132">
        <f t="shared" si="37"/>
        <v>486.3465</v>
      </c>
      <c r="O154" s="210">
        <v>1.7</v>
      </c>
      <c r="P154" s="208">
        <f t="shared" si="38"/>
        <v>4.318</v>
      </c>
      <c r="Q154" s="132">
        <f t="shared" si="39"/>
        <v>31.9532</v>
      </c>
      <c r="R154" s="208">
        <f t="shared" si="40"/>
        <v>15.9766</v>
      </c>
      <c r="V154" s="132"/>
    </row>
    <row r="155" spans="1:22" s="109" customFormat="1" ht="16.5" customHeight="1">
      <c r="A155" s="806" t="s">
        <v>684</v>
      </c>
      <c r="B155" s="766">
        <f>'Weight sheet'!C100</f>
        <v>4199059</v>
      </c>
      <c r="C155" s="766">
        <f>'Weight sheet'!D100</f>
        <v>52411</v>
      </c>
      <c r="D155" s="881">
        <f>'Weight sheet'!F100</f>
        <v>1</v>
      </c>
      <c r="E155" s="869">
        <f>'Weight sheet'!H100</f>
        <v>8</v>
      </c>
      <c r="F155" s="208">
        <f t="shared" si="31"/>
        <v>8</v>
      </c>
      <c r="G155" s="225">
        <v>48.55</v>
      </c>
      <c r="H155" s="208">
        <f t="shared" si="32"/>
        <v>123.317</v>
      </c>
      <c r="I155" s="132">
        <f t="shared" si="33"/>
        <v>986.536</v>
      </c>
      <c r="J155" s="275">
        <v>7.13</v>
      </c>
      <c r="K155" s="132">
        <f t="shared" si="34"/>
        <v>7.13</v>
      </c>
      <c r="L155" s="227">
        <f t="shared" si="35"/>
        <v>48.55</v>
      </c>
      <c r="M155" s="208">
        <f t="shared" si="36"/>
        <v>123.317</v>
      </c>
      <c r="N155" s="132">
        <f t="shared" si="37"/>
        <v>879.2502099999999</v>
      </c>
      <c r="O155" s="210">
        <v>0</v>
      </c>
      <c r="P155" s="208">
        <f t="shared" si="38"/>
        <v>0</v>
      </c>
      <c r="Q155" s="132">
        <f t="shared" si="39"/>
        <v>0</v>
      </c>
      <c r="R155" s="208">
        <f t="shared" si="40"/>
        <v>0</v>
      </c>
      <c r="V155" s="132"/>
    </row>
    <row r="156" spans="1:22" s="109" customFormat="1" ht="33" customHeight="1">
      <c r="A156" s="821" t="s">
        <v>594</v>
      </c>
      <c r="B156" s="766" t="str">
        <f>'Weight sheet'!C101</f>
        <v>4199111 / 4199122 / 4199120 / 4199342</v>
      </c>
      <c r="C156" s="766" t="str">
        <f>'Weight sheet'!D101</f>
        <v>55183 / 55217 / 55214 / 49884</v>
      </c>
      <c r="D156" s="881">
        <f>'Weight sheet'!F101</f>
        <v>1</v>
      </c>
      <c r="E156" s="869">
        <f>'Weight sheet'!H101</f>
        <v>13</v>
      </c>
      <c r="F156" s="208">
        <f t="shared" si="31"/>
        <v>13</v>
      </c>
      <c r="G156" s="225">
        <v>48.64</v>
      </c>
      <c r="H156" s="208">
        <f t="shared" si="32"/>
        <v>123.54560000000001</v>
      </c>
      <c r="I156" s="132">
        <f t="shared" si="33"/>
        <v>1606.0928000000001</v>
      </c>
      <c r="J156" s="226">
        <f>E156/SS_Density</f>
        <v>1.6195340725052947</v>
      </c>
      <c r="K156" s="132">
        <f t="shared" si="34"/>
        <v>1.6195340725052947</v>
      </c>
      <c r="L156" s="227">
        <f t="shared" si="35"/>
        <v>48.64</v>
      </c>
      <c r="M156" s="208">
        <f t="shared" si="36"/>
        <v>123.54560000000001</v>
      </c>
      <c r="N156" s="132">
        <f t="shared" si="37"/>
        <v>200.08630870811015</v>
      </c>
      <c r="O156" s="210">
        <v>0</v>
      </c>
      <c r="P156" s="208">
        <f t="shared" si="38"/>
        <v>0</v>
      </c>
      <c r="Q156" s="132">
        <f t="shared" si="39"/>
        <v>0</v>
      </c>
      <c r="R156" s="208">
        <f t="shared" si="40"/>
        <v>0</v>
      </c>
      <c r="V156" s="132"/>
    </row>
    <row r="157" spans="1:22" s="109" customFormat="1" ht="16.5" customHeight="1">
      <c r="A157" s="804" t="s">
        <v>596</v>
      </c>
      <c r="B157" s="766">
        <f>'Weight sheet'!C102</f>
        <v>4199059</v>
      </c>
      <c r="C157" s="766">
        <f>'Weight sheet'!D102</f>
        <v>52411</v>
      </c>
      <c r="D157" s="881">
        <f>'Weight sheet'!F102</f>
        <v>1</v>
      </c>
      <c r="E157" s="869">
        <f>'Weight sheet'!H102</f>
        <v>8</v>
      </c>
      <c r="F157" s="208">
        <f t="shared" si="31"/>
        <v>8</v>
      </c>
      <c r="G157" s="225">
        <v>28.72</v>
      </c>
      <c r="H157" s="208">
        <f t="shared" si="32"/>
        <v>72.94879999999999</v>
      </c>
      <c r="I157" s="132">
        <f t="shared" si="33"/>
        <v>583.5903999999999</v>
      </c>
      <c r="J157" s="275">
        <v>7.13</v>
      </c>
      <c r="K157" s="208">
        <f t="shared" si="34"/>
        <v>7.13</v>
      </c>
      <c r="L157" s="227">
        <f t="shared" si="35"/>
        <v>28.72</v>
      </c>
      <c r="M157" s="208">
        <f t="shared" si="36"/>
        <v>72.94879999999999</v>
      </c>
      <c r="N157" s="132">
        <f t="shared" si="37"/>
        <v>520.1249439999999</v>
      </c>
      <c r="O157" s="210">
        <v>0</v>
      </c>
      <c r="P157" s="208">
        <f t="shared" si="38"/>
        <v>0</v>
      </c>
      <c r="Q157" s="132">
        <f t="shared" si="39"/>
        <v>0</v>
      </c>
      <c r="R157" s="208">
        <f t="shared" si="40"/>
        <v>0</v>
      </c>
      <c r="V157" s="132"/>
    </row>
    <row r="158" spans="1:22" s="109" customFormat="1" ht="33" customHeight="1">
      <c r="A158" s="821" t="s">
        <v>473</v>
      </c>
      <c r="B158" s="766" t="str">
        <f>'Weight sheet'!C103</f>
        <v>4199111 / 4199122 / 4199120 / 4199342</v>
      </c>
      <c r="C158" s="766" t="str">
        <f>'Weight sheet'!D103</f>
        <v>55183 / 55217 / 55214 / 49884</v>
      </c>
      <c r="D158" s="881">
        <f>'Weight sheet'!F103</f>
        <v>1</v>
      </c>
      <c r="E158" s="869">
        <f>'Weight sheet'!H103</f>
        <v>15.1</v>
      </c>
      <c r="F158" s="208">
        <f t="shared" si="31"/>
        <v>15.1</v>
      </c>
      <c r="G158" s="225">
        <v>25.75</v>
      </c>
      <c r="H158" s="208">
        <f t="shared" si="32"/>
        <v>65.405</v>
      </c>
      <c r="I158" s="132">
        <f t="shared" si="33"/>
        <v>987.6155</v>
      </c>
      <c r="J158" s="226">
        <f>E158/SS_Density</f>
        <v>1.8811511149869193</v>
      </c>
      <c r="K158" s="132">
        <f t="shared" si="34"/>
        <v>1.8811511149869193</v>
      </c>
      <c r="L158" s="227">
        <f t="shared" si="35"/>
        <v>25.75</v>
      </c>
      <c r="M158" s="208">
        <f t="shared" si="36"/>
        <v>65.405</v>
      </c>
      <c r="N158" s="132">
        <f t="shared" si="37"/>
        <v>123.03668867571946</v>
      </c>
      <c r="O158" s="210">
        <v>0</v>
      </c>
      <c r="P158" s="208">
        <f t="shared" si="38"/>
        <v>0</v>
      </c>
      <c r="Q158" s="132">
        <f t="shared" si="39"/>
        <v>0</v>
      </c>
      <c r="R158" s="208">
        <f t="shared" si="40"/>
        <v>0</v>
      </c>
      <c r="V158" s="132"/>
    </row>
    <row r="159" spans="1:22" s="109" customFormat="1" ht="16.5" customHeight="1">
      <c r="A159" s="806" t="s">
        <v>474</v>
      </c>
      <c r="B159" s="766" t="str">
        <f>'Weight sheet'!C104</f>
        <v>4199111 / 4199122</v>
      </c>
      <c r="C159" s="766" t="str">
        <f>'Weight sheet'!D104</f>
        <v>55183 / 55217</v>
      </c>
      <c r="D159" s="881">
        <f>'Weight sheet'!F104</f>
        <v>1</v>
      </c>
      <c r="E159" s="869">
        <f>'Weight sheet'!H104</f>
        <v>5.2</v>
      </c>
      <c r="F159" s="208">
        <f t="shared" si="31"/>
        <v>5.2</v>
      </c>
      <c r="G159" s="225">
        <v>23.41</v>
      </c>
      <c r="H159" s="208">
        <f t="shared" si="32"/>
        <v>59.461400000000005</v>
      </c>
      <c r="I159" s="132">
        <f t="shared" si="33"/>
        <v>309.19928000000004</v>
      </c>
      <c r="J159" s="279">
        <v>0</v>
      </c>
      <c r="K159" s="132">
        <f t="shared" si="34"/>
        <v>0</v>
      </c>
      <c r="L159" s="227">
        <f t="shared" si="35"/>
        <v>23.41</v>
      </c>
      <c r="M159" s="208">
        <f t="shared" si="36"/>
        <v>59.461400000000005</v>
      </c>
      <c r="N159" s="132">
        <f t="shared" si="37"/>
        <v>0</v>
      </c>
      <c r="O159" s="210">
        <v>0</v>
      </c>
      <c r="P159" s="208">
        <f t="shared" si="38"/>
        <v>0</v>
      </c>
      <c r="Q159" s="132">
        <f t="shared" si="39"/>
        <v>0</v>
      </c>
      <c r="R159" s="208">
        <f t="shared" si="40"/>
        <v>0</v>
      </c>
      <c r="V159" s="132"/>
    </row>
    <row r="160" spans="1:22" s="109" customFormat="1" ht="16.5" customHeight="1">
      <c r="A160" s="804" t="s">
        <v>476</v>
      </c>
      <c r="B160" s="766">
        <f>'Weight sheet'!C105</f>
        <v>4199058</v>
      </c>
      <c r="C160" s="766">
        <f>'Weight sheet'!D105</f>
        <v>52410</v>
      </c>
      <c r="D160" s="881">
        <f>'Weight sheet'!F105</f>
        <v>1</v>
      </c>
      <c r="E160" s="869">
        <f>'Weight sheet'!H105</f>
        <v>6.6</v>
      </c>
      <c r="F160" s="208">
        <f t="shared" si="31"/>
        <v>6.6</v>
      </c>
      <c r="G160" s="225">
        <v>26.13</v>
      </c>
      <c r="H160" s="208">
        <f t="shared" si="32"/>
        <v>66.3702</v>
      </c>
      <c r="I160" s="132">
        <f t="shared" si="33"/>
        <v>438.04331999999994</v>
      </c>
      <c r="J160" s="275">
        <v>5.76</v>
      </c>
      <c r="K160" s="208">
        <f t="shared" si="34"/>
        <v>5.76</v>
      </c>
      <c r="L160" s="227">
        <f t="shared" si="35"/>
        <v>26.13</v>
      </c>
      <c r="M160" s="208">
        <f t="shared" si="36"/>
        <v>66.3702</v>
      </c>
      <c r="N160" s="132">
        <f t="shared" si="37"/>
        <v>382.292352</v>
      </c>
      <c r="O160" s="210">
        <v>0</v>
      </c>
      <c r="P160" s="208">
        <f t="shared" si="38"/>
        <v>0</v>
      </c>
      <c r="Q160" s="132">
        <f t="shared" si="39"/>
        <v>0</v>
      </c>
      <c r="R160" s="208">
        <f t="shared" si="40"/>
        <v>0</v>
      </c>
      <c r="V160" s="132"/>
    </row>
    <row r="161" spans="1:22" s="109" customFormat="1" ht="16.5" customHeight="1">
      <c r="A161" s="806" t="s">
        <v>695</v>
      </c>
      <c r="B161" s="766" t="str">
        <f>'Weight sheet'!C106</f>
        <v>4199111 / 4199122</v>
      </c>
      <c r="C161" s="766" t="str">
        <f>'Weight sheet'!D106</f>
        <v>55183 / 55217</v>
      </c>
      <c r="D161" s="881">
        <f>'Weight sheet'!F106</f>
        <v>1</v>
      </c>
      <c r="E161" s="869">
        <f>'Weight sheet'!H106</f>
        <v>10.5</v>
      </c>
      <c r="F161" s="208">
        <f t="shared" si="31"/>
        <v>10.5</v>
      </c>
      <c r="G161" s="225">
        <v>25.92</v>
      </c>
      <c r="H161" s="208">
        <f t="shared" si="32"/>
        <v>65.83680000000001</v>
      </c>
      <c r="I161" s="132">
        <f t="shared" si="33"/>
        <v>691.2864000000001</v>
      </c>
      <c r="J161" s="279">
        <v>0</v>
      </c>
      <c r="K161" s="132">
        <f t="shared" si="34"/>
        <v>0</v>
      </c>
      <c r="L161" s="227">
        <f t="shared" si="35"/>
        <v>25.92</v>
      </c>
      <c r="M161" s="208">
        <f t="shared" si="36"/>
        <v>65.83680000000001</v>
      </c>
      <c r="N161" s="132">
        <f t="shared" si="37"/>
        <v>0</v>
      </c>
      <c r="O161" s="210">
        <v>0</v>
      </c>
      <c r="P161" s="208">
        <f t="shared" si="38"/>
        <v>0</v>
      </c>
      <c r="Q161" s="132">
        <f t="shared" si="39"/>
        <v>0</v>
      </c>
      <c r="R161" s="208">
        <f t="shared" si="40"/>
        <v>0</v>
      </c>
      <c r="V161" s="107"/>
    </row>
    <row r="162" spans="1:22" s="302" customFormat="1" ht="16.5" customHeight="1">
      <c r="A162" s="287"/>
      <c r="B162" s="287"/>
      <c r="C162" s="543"/>
      <c r="D162" s="529"/>
      <c r="E162" s="559"/>
      <c r="F162" s="204"/>
      <c r="G162" s="296"/>
      <c r="H162" s="297"/>
      <c r="I162" s="298"/>
      <c r="J162" s="292"/>
      <c r="K162" s="298"/>
      <c r="L162" s="299"/>
      <c r="M162" s="297"/>
      <c r="N162" s="298"/>
      <c r="O162" s="300"/>
      <c r="P162" s="297"/>
      <c r="Q162" s="298"/>
      <c r="R162" s="301"/>
      <c r="V162" s="303"/>
    </row>
    <row r="163" spans="1:22" s="8" customFormat="1" ht="16.5" customHeight="1">
      <c r="A163" s="304"/>
      <c r="B163" s="775"/>
      <c r="C163" s="776"/>
      <c r="D163" s="561"/>
      <c r="E163" s="562"/>
      <c r="F163" s="305"/>
      <c r="G163" s="305"/>
      <c r="H163" s="305"/>
      <c r="I163" s="305"/>
      <c r="J163" s="306"/>
      <c r="K163" s="305"/>
      <c r="L163" s="305"/>
      <c r="M163" s="305"/>
      <c r="N163" s="305"/>
      <c r="O163" s="306"/>
      <c r="P163" s="305"/>
      <c r="Q163" s="305"/>
      <c r="R163" s="305"/>
      <c r="V163" s="98"/>
    </row>
    <row r="164" spans="1:22" s="8" customFormat="1" ht="16.5" customHeight="1">
      <c r="A164" s="128" t="s">
        <v>696</v>
      </c>
      <c r="B164" s="764">
        <f>'Weight sheet'!C111</f>
        <v>4199346</v>
      </c>
      <c r="C164" s="764">
        <f>'Weight sheet'!D111</f>
        <v>49891</v>
      </c>
      <c r="D164" s="774"/>
      <c r="E164" s="525"/>
      <c r="F164" s="130"/>
      <c r="G164" s="269"/>
      <c r="H164" s="130"/>
      <c r="I164" s="98"/>
      <c r="J164" s="270"/>
      <c r="K164" s="196"/>
      <c r="L164" s="307"/>
      <c r="M164" s="130"/>
      <c r="N164" s="196"/>
      <c r="O164" s="281"/>
      <c r="P164" s="130"/>
      <c r="Q164" s="98"/>
      <c r="R164" s="130"/>
      <c r="V164" s="98"/>
    </row>
    <row r="165" spans="2:22" s="8" customFormat="1" ht="16.5" customHeight="1">
      <c r="B165" s="791" t="s">
        <v>865</v>
      </c>
      <c r="C165" s="792">
        <f>SUM(F176:F278)</f>
        <v>7250.2</v>
      </c>
      <c r="D165" s="801" t="s">
        <v>986</v>
      </c>
      <c r="E165" s="557" t="s">
        <v>955</v>
      </c>
      <c r="F165" s="130"/>
      <c r="G165" s="269"/>
      <c r="H165" s="130"/>
      <c r="J165" s="270"/>
      <c r="L165" s="307"/>
      <c r="M165" s="130"/>
      <c r="N165" s="196"/>
      <c r="O165" s="281"/>
      <c r="P165" s="130"/>
      <c r="Q165" s="98"/>
      <c r="R165" s="130"/>
      <c r="V165" s="98"/>
    </row>
    <row r="166" spans="2:32" s="109" customFormat="1" ht="16.5" customHeight="1">
      <c r="B166" s="791" t="s">
        <v>708</v>
      </c>
      <c r="C166" s="874">
        <f>'Weight sheet'!H113</f>
        <v>7292</v>
      </c>
      <c r="D166" s="801" t="s">
        <v>986</v>
      </c>
      <c r="E166" s="531">
        <f>C166-C165</f>
        <v>41.80000000000018</v>
      </c>
      <c r="I166" s="308"/>
      <c r="O166" s="240"/>
      <c r="S166"/>
      <c r="T166"/>
      <c r="U166"/>
      <c r="V166"/>
      <c r="W166"/>
      <c r="X166"/>
      <c r="Y166"/>
      <c r="Z166"/>
      <c r="AA166"/>
      <c r="AB166"/>
      <c r="AC166"/>
      <c r="AD166"/>
      <c r="AE166"/>
      <c r="AF166"/>
    </row>
    <row r="167" spans="1:22" s="8" customFormat="1" ht="16.5" customHeight="1">
      <c r="A167" s="309"/>
      <c r="B167" s="309"/>
      <c r="C167" s="528"/>
      <c r="D167" s="529"/>
      <c r="E167" s="525"/>
      <c r="F167" s="130"/>
      <c r="G167" s="269"/>
      <c r="H167" s="130"/>
      <c r="I167" s="98"/>
      <c r="J167" s="270"/>
      <c r="K167" s="196"/>
      <c r="L167" s="307"/>
      <c r="M167" s="130"/>
      <c r="N167" s="196"/>
      <c r="O167" s="281"/>
      <c r="P167" s="130"/>
      <c r="Q167" s="98"/>
      <c r="R167" s="130"/>
      <c r="V167" s="98"/>
    </row>
    <row r="168" spans="2:22" s="8" customFormat="1" ht="16.5" customHeight="1">
      <c r="B168" s="118" t="s">
        <v>597</v>
      </c>
      <c r="C168" s="879">
        <f>'Weight sheet'!H115</f>
        <v>5585</v>
      </c>
      <c r="D168" s="529" t="s">
        <v>986</v>
      </c>
      <c r="E168" s="525"/>
      <c r="F168" s="130"/>
      <c r="G168" s="269"/>
      <c r="H168" s="130"/>
      <c r="I168" s="98"/>
      <c r="J168" s="270"/>
      <c r="K168" s="196"/>
      <c r="L168" s="307"/>
      <c r="M168" s="130"/>
      <c r="N168" s="196"/>
      <c r="O168" s="281"/>
      <c r="P168" s="130"/>
      <c r="Q168" s="98"/>
      <c r="R168" s="130"/>
      <c r="V168" s="98"/>
    </row>
    <row r="169" spans="2:22" s="8" customFormat="1" ht="16.5" customHeight="1">
      <c r="B169" s="118" t="s">
        <v>598</v>
      </c>
      <c r="C169" s="879">
        <f>'Weight sheet'!H116</f>
        <v>6699</v>
      </c>
      <c r="D169" s="529" t="s">
        <v>986</v>
      </c>
      <c r="E169" s="525"/>
      <c r="F169" s="180"/>
      <c r="G169" s="310"/>
      <c r="H169" s="130"/>
      <c r="I169" s="98"/>
      <c r="J169" s="270"/>
      <c r="K169" s="196"/>
      <c r="L169" s="307"/>
      <c r="M169" s="130"/>
      <c r="N169" s="196"/>
      <c r="O169" s="281"/>
      <c r="P169" s="130"/>
      <c r="Q169" s="98"/>
      <c r="R169" s="130"/>
      <c r="V169" s="98"/>
    </row>
    <row r="170" spans="2:22" s="8" customFormat="1" ht="16.5" customHeight="1">
      <c r="B170" s="118" t="s">
        <v>599</v>
      </c>
      <c r="C170" s="879">
        <f>'Weight sheet'!H117</f>
        <v>1114</v>
      </c>
      <c r="D170" s="529" t="s">
        <v>986</v>
      </c>
      <c r="E170" s="520"/>
      <c r="F170" s="130"/>
      <c r="G170" s="269"/>
      <c r="H170" s="130"/>
      <c r="I170" s="98"/>
      <c r="J170" s="270"/>
      <c r="K170" s="196"/>
      <c r="L170" s="307"/>
      <c r="M170" s="130"/>
      <c r="N170" s="196"/>
      <c r="O170" s="281"/>
      <c r="P170" s="130"/>
      <c r="Q170" s="98"/>
      <c r="R170" s="130"/>
      <c r="V170" s="98"/>
    </row>
    <row r="171" spans="2:22" s="8" customFormat="1" ht="16.5" customHeight="1">
      <c r="B171" s="118" t="s">
        <v>600</v>
      </c>
      <c r="C171" s="879">
        <f>'Weight sheet'!H118</f>
        <v>1353.749</v>
      </c>
      <c r="D171" s="529" t="s">
        <v>957</v>
      </c>
      <c r="E171" s="570">
        <f>Total_Oil_Vol</f>
        <v>1353.749</v>
      </c>
      <c r="F171" s="130"/>
      <c r="G171" s="269"/>
      <c r="H171" s="130"/>
      <c r="I171" s="98"/>
      <c r="J171" s="270"/>
      <c r="K171" s="196"/>
      <c r="L171" s="307"/>
      <c r="M171" s="130"/>
      <c r="N171" s="196"/>
      <c r="O171" s="281"/>
      <c r="P171" s="130"/>
      <c r="Q171" s="98"/>
      <c r="R171" s="130"/>
      <c r="V171" s="98"/>
    </row>
    <row r="172" spans="1:22" s="8" customFormat="1" ht="16.5" customHeight="1">
      <c r="A172" s="311"/>
      <c r="B172" s="311"/>
      <c r="C172" s="564"/>
      <c r="D172" s="539"/>
      <c r="E172" s="542"/>
      <c r="F172" s="194"/>
      <c r="G172" s="312"/>
      <c r="H172" s="130"/>
      <c r="I172" s="98"/>
      <c r="J172" s="270"/>
      <c r="K172" s="196"/>
      <c r="L172" s="313"/>
      <c r="M172" s="194"/>
      <c r="N172" s="314"/>
      <c r="O172" s="272"/>
      <c r="P172" s="194"/>
      <c r="Q172" s="196"/>
      <c r="R172" s="130"/>
      <c r="V172" s="98"/>
    </row>
    <row r="173" spans="1:22" s="8" customFormat="1" ht="16.5" customHeight="1">
      <c r="A173" s="315" t="s">
        <v>601</v>
      </c>
      <c r="B173" s="772">
        <f>'Weight sheet'!C125</f>
        <v>4199430</v>
      </c>
      <c r="C173" s="772">
        <f>'Weight sheet'!D125</f>
        <v>55480</v>
      </c>
      <c r="D173" s="771"/>
      <c r="E173" s="533"/>
      <c r="F173" s="130"/>
      <c r="G173" s="278"/>
      <c r="H173" s="130"/>
      <c r="I173" s="98"/>
      <c r="J173" s="288"/>
      <c r="K173" s="98"/>
      <c r="L173" s="280"/>
      <c r="M173" s="130"/>
      <c r="N173" s="98"/>
      <c r="O173" s="281"/>
      <c r="P173" s="130"/>
      <c r="Q173" s="98"/>
      <c r="R173" s="130"/>
      <c r="V173" s="98"/>
    </row>
    <row r="174" spans="2:22" s="8" customFormat="1" ht="16.5" customHeight="1">
      <c r="B174" s="788" t="s">
        <v>865</v>
      </c>
      <c r="C174" s="790">
        <f>(SUM(F176:F221))+E202-F202</f>
        <v>3949.5000000000005</v>
      </c>
      <c r="D174" s="801" t="s">
        <v>986</v>
      </c>
      <c r="E174" s="557" t="s">
        <v>955</v>
      </c>
      <c r="F174" s="130"/>
      <c r="G174" s="278"/>
      <c r="H174" s="130"/>
      <c r="I174" s="98"/>
      <c r="J174" s="288"/>
      <c r="K174" s="98"/>
      <c r="L174" s="280"/>
      <c r="M174" s="130"/>
      <c r="N174" s="98"/>
      <c r="O174" s="281"/>
      <c r="P174" s="130"/>
      <c r="Q174" s="98"/>
      <c r="R174" s="130"/>
      <c r="V174" s="98"/>
    </row>
    <row r="175" spans="2:22" s="8" customFormat="1" ht="16.5" customHeight="1">
      <c r="B175" s="809" t="s">
        <v>708</v>
      </c>
      <c r="C175" s="873">
        <f>'Weight sheet'!H127</f>
        <v>3962.2</v>
      </c>
      <c r="D175" s="801" t="s">
        <v>986</v>
      </c>
      <c r="E175" s="531">
        <f>C175-C174</f>
        <v>12.699999999999363</v>
      </c>
      <c r="F175" s="130"/>
      <c r="G175" s="278"/>
      <c r="H175" s="130"/>
      <c r="I175" s="98"/>
      <c r="J175" s="288"/>
      <c r="K175" s="98"/>
      <c r="L175" s="280"/>
      <c r="M175" s="130"/>
      <c r="N175" s="98"/>
      <c r="O175" s="281"/>
      <c r="P175" s="130"/>
      <c r="Q175" s="98"/>
      <c r="R175" s="130"/>
      <c r="V175" s="98"/>
    </row>
    <row r="176" spans="1:22" s="8" customFormat="1" ht="16.5" customHeight="1">
      <c r="A176" s="822" t="s">
        <v>602</v>
      </c>
      <c r="B176" s="766">
        <f>'Weight sheet'!C128</f>
        <v>4199325</v>
      </c>
      <c r="C176" s="766">
        <f>'Weight sheet'!D128</f>
        <v>49815</v>
      </c>
      <c r="D176" s="881">
        <f>'Weight sheet'!F128</f>
        <v>1</v>
      </c>
      <c r="E176" s="869">
        <f>'Weight sheet'!H128</f>
        <v>2017</v>
      </c>
      <c r="F176" s="130">
        <f aca="true" t="shared" si="41" ref="F176:F201">E176*D176</f>
        <v>2017</v>
      </c>
      <c r="G176" s="278">
        <v>50.014</v>
      </c>
      <c r="H176" s="130">
        <f aca="true" t="shared" si="42" ref="H176:H221">G176*2.54</f>
        <v>127.03556</v>
      </c>
      <c r="I176" s="98">
        <f aca="true" t="shared" si="43" ref="I176:I221">F176*H176</f>
        <v>256230.72452000002</v>
      </c>
      <c r="J176" s="275">
        <v>2885</v>
      </c>
      <c r="K176" s="98">
        <f aca="true" t="shared" si="44" ref="K176:K221">J176*D176</f>
        <v>2885</v>
      </c>
      <c r="L176" s="280">
        <v>49.752</v>
      </c>
      <c r="M176" s="130">
        <f aca="true" t="shared" si="45" ref="M176:M221">L176*2.54</f>
        <v>126.37008</v>
      </c>
      <c r="N176" s="98">
        <f aca="true" t="shared" si="46" ref="N176:N200">K176*M176</f>
        <v>364577.68080000003</v>
      </c>
      <c r="O176" s="281">
        <v>0</v>
      </c>
      <c r="P176" s="130">
        <f aca="true" t="shared" si="47" ref="P176:P221">O176*2.54</f>
        <v>0</v>
      </c>
      <c r="Q176" s="98">
        <f aca="true" t="shared" si="48" ref="Q176:Q221">F176*P176</f>
        <v>0</v>
      </c>
      <c r="R176" s="130">
        <f aca="true" t="shared" si="49" ref="R176:R221">K176*P176</f>
        <v>0</v>
      </c>
      <c r="V176" s="98"/>
    </row>
    <row r="177" spans="1:22" s="8" customFormat="1" ht="16.5" customHeight="1">
      <c r="A177" s="822" t="s">
        <v>603</v>
      </c>
      <c r="B177" s="766">
        <f>'Weight sheet'!C129</f>
        <v>4199132</v>
      </c>
      <c r="C177" s="766">
        <f>'Weight sheet'!D129</f>
        <v>55248</v>
      </c>
      <c r="D177" s="881">
        <f>'Weight sheet'!F129</f>
        <v>1</v>
      </c>
      <c r="E177" s="869">
        <f>'Weight sheet'!H129</f>
        <v>1.1</v>
      </c>
      <c r="F177" s="130">
        <f t="shared" si="41"/>
        <v>1.1</v>
      </c>
      <c r="G177" s="278">
        <v>48.41</v>
      </c>
      <c r="H177" s="130">
        <f t="shared" si="42"/>
        <v>122.9614</v>
      </c>
      <c r="I177" s="98">
        <f t="shared" si="43"/>
        <v>135.25754</v>
      </c>
      <c r="J177" s="279">
        <v>0</v>
      </c>
      <c r="K177" s="98">
        <f t="shared" si="44"/>
        <v>0</v>
      </c>
      <c r="L177" s="280">
        <f aca="true" t="shared" si="50" ref="L177:L201">G177</f>
        <v>48.41</v>
      </c>
      <c r="M177" s="130">
        <f t="shared" si="45"/>
        <v>122.9614</v>
      </c>
      <c r="N177" s="98">
        <f t="shared" si="46"/>
        <v>0</v>
      </c>
      <c r="O177" s="281">
        <v>0</v>
      </c>
      <c r="P177" s="130">
        <f t="shared" si="47"/>
        <v>0</v>
      </c>
      <c r="Q177" s="98">
        <f t="shared" si="48"/>
        <v>0</v>
      </c>
      <c r="R177" s="130">
        <f t="shared" si="49"/>
        <v>0</v>
      </c>
      <c r="V177" s="98"/>
    </row>
    <row r="178" spans="1:22" s="8" customFormat="1" ht="16.5" customHeight="1">
      <c r="A178" s="822" t="s">
        <v>604</v>
      </c>
      <c r="B178" s="766">
        <f>'Weight sheet'!C130</f>
        <v>4199074</v>
      </c>
      <c r="C178" s="766">
        <f>'Weight sheet'!D130</f>
        <v>52432</v>
      </c>
      <c r="D178" s="881">
        <f>'Weight sheet'!F130</f>
        <v>1</v>
      </c>
      <c r="E178" s="869">
        <f>'Weight sheet'!H130</f>
        <v>8.4</v>
      </c>
      <c r="F178" s="130">
        <f t="shared" si="41"/>
        <v>8.4</v>
      </c>
      <c r="G178" s="278">
        <v>49.3</v>
      </c>
      <c r="H178" s="130">
        <f t="shared" si="42"/>
        <v>125.222</v>
      </c>
      <c r="I178" s="98">
        <f t="shared" si="43"/>
        <v>1051.8648</v>
      </c>
      <c r="J178" s="279">
        <v>0</v>
      </c>
      <c r="K178" s="98">
        <f t="shared" si="44"/>
        <v>0</v>
      </c>
      <c r="L178" s="280">
        <f t="shared" si="50"/>
        <v>49.3</v>
      </c>
      <c r="M178" s="130">
        <f t="shared" si="45"/>
        <v>125.222</v>
      </c>
      <c r="N178" s="98">
        <f t="shared" si="46"/>
        <v>0</v>
      </c>
      <c r="O178" s="281">
        <v>0</v>
      </c>
      <c r="P178" s="130">
        <f t="shared" si="47"/>
        <v>0</v>
      </c>
      <c r="Q178" s="98">
        <f t="shared" si="48"/>
        <v>0</v>
      </c>
      <c r="R178" s="130">
        <f t="shared" si="49"/>
        <v>0</v>
      </c>
      <c r="V178" s="98"/>
    </row>
    <row r="179" spans="1:22" s="8" customFormat="1" ht="16.5" customHeight="1">
      <c r="A179" s="823" t="s">
        <v>605</v>
      </c>
      <c r="B179" s="766">
        <f>'Weight sheet'!C131</f>
        <v>4199245</v>
      </c>
      <c r="C179" s="766">
        <f>'Weight sheet'!D131</f>
        <v>55506</v>
      </c>
      <c r="D179" s="881">
        <f>'Weight sheet'!F131</f>
        <v>1</v>
      </c>
      <c r="E179" s="869">
        <f>'Weight sheet'!H131</f>
        <v>27.8</v>
      </c>
      <c r="F179" s="130">
        <f t="shared" si="41"/>
        <v>27.8</v>
      </c>
      <c r="G179" s="278">
        <v>49.3</v>
      </c>
      <c r="H179" s="130">
        <f t="shared" si="42"/>
        <v>125.222</v>
      </c>
      <c r="I179" s="98">
        <f t="shared" si="43"/>
        <v>3481.1716</v>
      </c>
      <c r="J179" s="279">
        <v>0</v>
      </c>
      <c r="K179" s="98">
        <f t="shared" si="44"/>
        <v>0</v>
      </c>
      <c r="L179" s="280">
        <f t="shared" si="50"/>
        <v>49.3</v>
      </c>
      <c r="M179" s="130">
        <f t="shared" si="45"/>
        <v>125.222</v>
      </c>
      <c r="N179" s="98">
        <f t="shared" si="46"/>
        <v>0</v>
      </c>
      <c r="O179" s="281">
        <v>0.5</v>
      </c>
      <c r="P179" s="130">
        <f t="shared" si="47"/>
        <v>1.27</v>
      </c>
      <c r="Q179" s="98">
        <f t="shared" si="48"/>
        <v>35.306000000000004</v>
      </c>
      <c r="R179" s="130">
        <f t="shared" si="49"/>
        <v>0</v>
      </c>
      <c r="V179" s="98"/>
    </row>
    <row r="180" spans="1:22" s="8" customFormat="1" ht="16.5" customHeight="1">
      <c r="A180" s="823" t="s">
        <v>606</v>
      </c>
      <c r="B180" s="766">
        <f>'Weight sheet'!C132</f>
        <v>4199367</v>
      </c>
      <c r="C180" s="766">
        <f>'Weight sheet'!D132</f>
        <v>52254</v>
      </c>
      <c r="D180" s="881">
        <f>'Weight sheet'!F132</f>
        <v>1</v>
      </c>
      <c r="E180" s="869">
        <f>'Weight sheet'!H132</f>
        <v>605.7</v>
      </c>
      <c r="F180" s="130">
        <f t="shared" si="41"/>
        <v>605.7</v>
      </c>
      <c r="G180" s="278">
        <v>49.02</v>
      </c>
      <c r="H180" s="130">
        <f t="shared" si="42"/>
        <v>124.5108</v>
      </c>
      <c r="I180" s="98">
        <f t="shared" si="43"/>
        <v>75416.19156</v>
      </c>
      <c r="J180" s="279">
        <v>0</v>
      </c>
      <c r="K180" s="98">
        <f t="shared" si="44"/>
        <v>0</v>
      </c>
      <c r="L180" s="280">
        <f t="shared" si="50"/>
        <v>49.02</v>
      </c>
      <c r="M180" s="130">
        <f t="shared" si="45"/>
        <v>124.5108</v>
      </c>
      <c r="N180" s="98">
        <f t="shared" si="46"/>
        <v>0</v>
      </c>
      <c r="O180" s="281">
        <v>0.6</v>
      </c>
      <c r="P180" s="130">
        <f t="shared" si="47"/>
        <v>1.524</v>
      </c>
      <c r="Q180" s="98">
        <f t="shared" si="48"/>
        <v>923.0868</v>
      </c>
      <c r="R180" s="130">
        <f t="shared" si="49"/>
        <v>0</v>
      </c>
      <c r="V180" s="98"/>
    </row>
    <row r="181" spans="1:22" s="8" customFormat="1" ht="16.5" customHeight="1">
      <c r="A181" s="823" t="s">
        <v>607</v>
      </c>
      <c r="B181" s="766">
        <f>'Weight sheet'!C133</f>
        <v>4199072</v>
      </c>
      <c r="C181" s="766">
        <f>'Weight sheet'!D133</f>
        <v>52430</v>
      </c>
      <c r="D181" s="881">
        <f>'Weight sheet'!F133</f>
        <v>1</v>
      </c>
      <c r="E181" s="869">
        <f>'Weight sheet'!H133</f>
        <v>10.5</v>
      </c>
      <c r="F181" s="130">
        <f t="shared" si="41"/>
        <v>10.5</v>
      </c>
      <c r="G181" s="278">
        <v>50.43</v>
      </c>
      <c r="H181" s="130">
        <f t="shared" si="42"/>
        <v>128.0922</v>
      </c>
      <c r="I181" s="98">
        <f t="shared" si="43"/>
        <v>1344.9680999999998</v>
      </c>
      <c r="J181" s="279">
        <v>0</v>
      </c>
      <c r="K181" s="98">
        <f t="shared" si="44"/>
        <v>0</v>
      </c>
      <c r="L181" s="280">
        <f t="shared" si="50"/>
        <v>50.43</v>
      </c>
      <c r="M181" s="130">
        <f t="shared" si="45"/>
        <v>128.0922</v>
      </c>
      <c r="N181" s="98">
        <f t="shared" si="46"/>
        <v>0</v>
      </c>
      <c r="O181" s="281">
        <v>0.5</v>
      </c>
      <c r="P181" s="130">
        <f t="shared" si="47"/>
        <v>1.27</v>
      </c>
      <c r="Q181" s="98">
        <f t="shared" si="48"/>
        <v>13.335</v>
      </c>
      <c r="R181" s="130">
        <f t="shared" si="49"/>
        <v>0</v>
      </c>
      <c r="V181" s="98"/>
    </row>
    <row r="182" spans="1:22" s="8" customFormat="1" ht="16.5" customHeight="1">
      <c r="A182" s="822" t="s">
        <v>717</v>
      </c>
      <c r="B182" s="766">
        <f>'Weight sheet'!C134</f>
        <v>4199071</v>
      </c>
      <c r="C182" s="766">
        <f>'Weight sheet'!D134</f>
        <v>52433</v>
      </c>
      <c r="D182" s="881">
        <f>'Weight sheet'!F134</f>
        <v>1</v>
      </c>
      <c r="E182" s="869">
        <f>'Weight sheet'!H134</f>
        <v>19</v>
      </c>
      <c r="F182" s="130">
        <f t="shared" si="41"/>
        <v>19</v>
      </c>
      <c r="G182" s="278">
        <v>48.79</v>
      </c>
      <c r="H182" s="130">
        <f t="shared" si="42"/>
        <v>123.9266</v>
      </c>
      <c r="I182" s="98">
        <f t="shared" si="43"/>
        <v>2354.6054</v>
      </c>
      <c r="J182" s="279">
        <v>0</v>
      </c>
      <c r="K182" s="98">
        <f t="shared" si="44"/>
        <v>0</v>
      </c>
      <c r="L182" s="280">
        <f t="shared" si="50"/>
        <v>48.79</v>
      </c>
      <c r="M182" s="130">
        <f t="shared" si="45"/>
        <v>123.9266</v>
      </c>
      <c r="N182" s="98">
        <f t="shared" si="46"/>
        <v>0</v>
      </c>
      <c r="O182" s="281">
        <v>-0.5</v>
      </c>
      <c r="P182" s="130">
        <f t="shared" si="47"/>
        <v>-1.27</v>
      </c>
      <c r="Q182" s="98">
        <f t="shared" si="48"/>
        <v>-24.13</v>
      </c>
      <c r="R182" s="130">
        <f t="shared" si="49"/>
        <v>0</v>
      </c>
      <c r="V182" s="98"/>
    </row>
    <row r="183" spans="1:22" s="8" customFormat="1" ht="16.5" customHeight="1">
      <c r="A183" s="822" t="s">
        <v>718</v>
      </c>
      <c r="B183" s="766">
        <f>'Weight sheet'!C135</f>
        <v>4199064</v>
      </c>
      <c r="C183" s="766">
        <f>'Weight sheet'!D135</f>
        <v>52419</v>
      </c>
      <c r="D183" s="881">
        <f>'Weight sheet'!F135</f>
        <v>1</v>
      </c>
      <c r="E183" s="869">
        <f>'Weight sheet'!H135</f>
        <v>3.3</v>
      </c>
      <c r="F183" s="130">
        <f t="shared" si="41"/>
        <v>3.3</v>
      </c>
      <c r="G183" s="278">
        <v>47</v>
      </c>
      <c r="H183" s="130">
        <f t="shared" si="42"/>
        <v>119.38</v>
      </c>
      <c r="I183" s="98">
        <f t="shared" si="43"/>
        <v>393.95399999999995</v>
      </c>
      <c r="J183" s="279">
        <v>0</v>
      </c>
      <c r="K183" s="98">
        <f t="shared" si="44"/>
        <v>0</v>
      </c>
      <c r="L183" s="280">
        <f t="shared" si="50"/>
        <v>47</v>
      </c>
      <c r="M183" s="130">
        <f t="shared" si="45"/>
        <v>119.38</v>
      </c>
      <c r="N183" s="98">
        <f t="shared" si="46"/>
        <v>0</v>
      </c>
      <c r="O183" s="281">
        <v>0</v>
      </c>
      <c r="P183" s="130">
        <f t="shared" si="47"/>
        <v>0</v>
      </c>
      <c r="Q183" s="98">
        <f t="shared" si="48"/>
        <v>0</v>
      </c>
      <c r="R183" s="130">
        <f t="shared" si="49"/>
        <v>0</v>
      </c>
      <c r="V183" s="98"/>
    </row>
    <row r="184" spans="1:22" s="8" customFormat="1" ht="16.5" customHeight="1">
      <c r="A184" s="822" t="s">
        <v>719</v>
      </c>
      <c r="B184" s="766">
        <f>'Weight sheet'!C136</f>
        <v>4199064</v>
      </c>
      <c r="C184" s="766">
        <f>'Weight sheet'!D136</f>
        <v>52419</v>
      </c>
      <c r="D184" s="881">
        <f>'Weight sheet'!F136</f>
        <v>1</v>
      </c>
      <c r="E184" s="869">
        <f>'Weight sheet'!H136</f>
        <v>2.6</v>
      </c>
      <c r="F184" s="130">
        <f t="shared" si="41"/>
        <v>2.6</v>
      </c>
      <c r="G184" s="278">
        <v>47</v>
      </c>
      <c r="H184" s="130">
        <f t="shared" si="42"/>
        <v>119.38</v>
      </c>
      <c r="I184" s="98">
        <f t="shared" si="43"/>
        <v>310.388</v>
      </c>
      <c r="J184" s="279">
        <v>0</v>
      </c>
      <c r="K184" s="98">
        <f t="shared" si="44"/>
        <v>0</v>
      </c>
      <c r="L184" s="280">
        <f t="shared" si="50"/>
        <v>47</v>
      </c>
      <c r="M184" s="130">
        <f t="shared" si="45"/>
        <v>119.38</v>
      </c>
      <c r="N184" s="98">
        <f t="shared" si="46"/>
        <v>0</v>
      </c>
      <c r="O184" s="281">
        <v>0</v>
      </c>
      <c r="P184" s="130">
        <f t="shared" si="47"/>
        <v>0</v>
      </c>
      <c r="Q184" s="98">
        <f t="shared" si="48"/>
        <v>0</v>
      </c>
      <c r="R184" s="130">
        <f t="shared" si="49"/>
        <v>0</v>
      </c>
      <c r="V184" s="98"/>
    </row>
    <row r="185" spans="1:22" s="8" customFormat="1" ht="16.5" customHeight="1">
      <c r="A185" s="822" t="s">
        <v>720</v>
      </c>
      <c r="B185" s="766">
        <f>'Weight sheet'!C137</f>
        <v>4199084</v>
      </c>
      <c r="C185" s="766">
        <f>'Weight sheet'!D137</f>
        <v>52448</v>
      </c>
      <c r="D185" s="881">
        <f>'Weight sheet'!F137</f>
        <v>1</v>
      </c>
      <c r="E185" s="869">
        <f>'Weight sheet'!H137</f>
        <v>22.6</v>
      </c>
      <c r="F185" s="130">
        <f t="shared" si="41"/>
        <v>22.6</v>
      </c>
      <c r="G185" s="278">
        <v>49.1</v>
      </c>
      <c r="H185" s="130">
        <f t="shared" si="42"/>
        <v>124.714</v>
      </c>
      <c r="I185" s="98">
        <f t="shared" si="43"/>
        <v>2818.5364</v>
      </c>
      <c r="J185" s="279">
        <v>0</v>
      </c>
      <c r="K185" s="98">
        <f t="shared" si="44"/>
        <v>0</v>
      </c>
      <c r="L185" s="280">
        <f t="shared" si="50"/>
        <v>49.1</v>
      </c>
      <c r="M185" s="130">
        <f t="shared" si="45"/>
        <v>124.714</v>
      </c>
      <c r="N185" s="98">
        <f t="shared" si="46"/>
        <v>0</v>
      </c>
      <c r="O185" s="281">
        <v>-0.5</v>
      </c>
      <c r="P185" s="130">
        <f t="shared" si="47"/>
        <v>-1.27</v>
      </c>
      <c r="Q185" s="98">
        <f t="shared" si="48"/>
        <v>-28.702</v>
      </c>
      <c r="R185" s="130">
        <f t="shared" si="49"/>
        <v>0</v>
      </c>
      <c r="V185" s="98"/>
    </row>
    <row r="186" spans="1:22" s="8" customFormat="1" ht="16.5" customHeight="1">
      <c r="A186" s="822" t="s">
        <v>721</v>
      </c>
      <c r="B186" s="766">
        <f>'Weight sheet'!C138</f>
        <v>4199076</v>
      </c>
      <c r="C186" s="766">
        <f>'Weight sheet'!D138</f>
        <v>52435</v>
      </c>
      <c r="D186" s="881">
        <f>'Weight sheet'!F138</f>
        <v>1</v>
      </c>
      <c r="E186" s="869">
        <f>'Weight sheet'!H138</f>
        <v>16.1</v>
      </c>
      <c r="F186" s="130">
        <f t="shared" si="41"/>
        <v>16.1</v>
      </c>
      <c r="G186" s="278">
        <v>50.43</v>
      </c>
      <c r="H186" s="130">
        <f t="shared" si="42"/>
        <v>128.0922</v>
      </c>
      <c r="I186" s="98">
        <f t="shared" si="43"/>
        <v>2062.28442</v>
      </c>
      <c r="J186" s="279">
        <v>0</v>
      </c>
      <c r="K186" s="98">
        <f t="shared" si="44"/>
        <v>0</v>
      </c>
      <c r="L186" s="280">
        <f t="shared" si="50"/>
        <v>50.43</v>
      </c>
      <c r="M186" s="130">
        <f t="shared" si="45"/>
        <v>128.0922</v>
      </c>
      <c r="N186" s="98">
        <f t="shared" si="46"/>
        <v>0</v>
      </c>
      <c r="O186" s="281">
        <v>-0.5</v>
      </c>
      <c r="P186" s="130">
        <f t="shared" si="47"/>
        <v>-1.27</v>
      </c>
      <c r="Q186" s="98">
        <f t="shared" si="48"/>
        <v>-20.447000000000003</v>
      </c>
      <c r="R186" s="130">
        <f t="shared" si="49"/>
        <v>0</v>
      </c>
      <c r="V186" s="98"/>
    </row>
    <row r="187" spans="1:22" s="8" customFormat="1" ht="16.5" customHeight="1">
      <c r="A187" s="822" t="s">
        <v>722</v>
      </c>
      <c r="B187" s="766">
        <f>'Weight sheet'!C139</f>
        <v>4199064</v>
      </c>
      <c r="C187" s="766">
        <f>'Weight sheet'!D139</f>
        <v>52419</v>
      </c>
      <c r="D187" s="881">
        <f>'Weight sheet'!F139</f>
        <v>1</v>
      </c>
      <c r="E187" s="869">
        <f>'Weight sheet'!H139</f>
        <v>3.8</v>
      </c>
      <c r="F187" s="130">
        <f t="shared" si="41"/>
        <v>3.8</v>
      </c>
      <c r="G187" s="278">
        <v>47</v>
      </c>
      <c r="H187" s="130">
        <f t="shared" si="42"/>
        <v>119.38</v>
      </c>
      <c r="I187" s="98">
        <f t="shared" si="43"/>
        <v>453.64399999999995</v>
      </c>
      <c r="J187" s="279">
        <v>0</v>
      </c>
      <c r="K187" s="98">
        <f t="shared" si="44"/>
        <v>0</v>
      </c>
      <c r="L187" s="280">
        <f t="shared" si="50"/>
        <v>47</v>
      </c>
      <c r="M187" s="130">
        <f t="shared" si="45"/>
        <v>119.38</v>
      </c>
      <c r="N187" s="98">
        <f t="shared" si="46"/>
        <v>0</v>
      </c>
      <c r="O187" s="281">
        <v>0</v>
      </c>
      <c r="P187" s="130">
        <f t="shared" si="47"/>
        <v>0</v>
      </c>
      <c r="Q187" s="98">
        <f t="shared" si="48"/>
        <v>0</v>
      </c>
      <c r="R187" s="130">
        <f t="shared" si="49"/>
        <v>0</v>
      </c>
      <c r="V187" s="98"/>
    </row>
    <row r="188" spans="1:22" s="8" customFormat="1" ht="16.5" customHeight="1">
      <c r="A188" s="823" t="s">
        <v>723</v>
      </c>
      <c r="B188" s="766">
        <f>'Weight sheet'!C140</f>
        <v>4199075</v>
      </c>
      <c r="C188" s="766">
        <f>'Weight sheet'!D140</f>
        <v>52428</v>
      </c>
      <c r="D188" s="881">
        <f>'Weight sheet'!F140</f>
        <v>1</v>
      </c>
      <c r="E188" s="869">
        <f>'Weight sheet'!H140</f>
        <v>18.9</v>
      </c>
      <c r="F188" s="130">
        <f t="shared" si="41"/>
        <v>18.9</v>
      </c>
      <c r="G188" s="278">
        <v>49.3</v>
      </c>
      <c r="H188" s="130">
        <f t="shared" si="42"/>
        <v>125.222</v>
      </c>
      <c r="I188" s="98">
        <f t="shared" si="43"/>
        <v>2366.6957999999995</v>
      </c>
      <c r="J188" s="279">
        <v>0</v>
      </c>
      <c r="K188" s="98">
        <f t="shared" si="44"/>
        <v>0</v>
      </c>
      <c r="L188" s="280">
        <f t="shared" si="50"/>
        <v>49.3</v>
      </c>
      <c r="M188" s="130">
        <f t="shared" si="45"/>
        <v>125.222</v>
      </c>
      <c r="N188" s="98">
        <f t="shared" si="46"/>
        <v>0</v>
      </c>
      <c r="O188" s="281">
        <v>0</v>
      </c>
      <c r="P188" s="130">
        <f t="shared" si="47"/>
        <v>0</v>
      </c>
      <c r="Q188" s="98">
        <f t="shared" si="48"/>
        <v>0</v>
      </c>
      <c r="R188" s="130">
        <f t="shared" si="49"/>
        <v>0</v>
      </c>
      <c r="V188" s="98"/>
    </row>
    <row r="189" spans="1:22" s="8" customFormat="1" ht="16.5" customHeight="1">
      <c r="A189" s="822" t="s">
        <v>724</v>
      </c>
      <c r="B189" s="766">
        <f>'Weight sheet'!C141</f>
        <v>4199064</v>
      </c>
      <c r="C189" s="766">
        <f>'Weight sheet'!D141</f>
        <v>52419</v>
      </c>
      <c r="D189" s="881">
        <f>'Weight sheet'!F141</f>
        <v>1</v>
      </c>
      <c r="E189" s="869">
        <f>'Weight sheet'!H141</f>
        <v>1.9</v>
      </c>
      <c r="F189" s="130">
        <f t="shared" si="41"/>
        <v>1.9</v>
      </c>
      <c r="G189" s="278">
        <v>47</v>
      </c>
      <c r="H189" s="130">
        <f t="shared" si="42"/>
        <v>119.38</v>
      </c>
      <c r="I189" s="98">
        <f t="shared" si="43"/>
        <v>226.82199999999997</v>
      </c>
      <c r="J189" s="279">
        <v>0</v>
      </c>
      <c r="K189" s="98">
        <f t="shared" si="44"/>
        <v>0</v>
      </c>
      <c r="L189" s="280">
        <f t="shared" si="50"/>
        <v>47</v>
      </c>
      <c r="M189" s="130">
        <f t="shared" si="45"/>
        <v>119.38</v>
      </c>
      <c r="N189" s="98">
        <f t="shared" si="46"/>
        <v>0</v>
      </c>
      <c r="O189" s="281">
        <v>0</v>
      </c>
      <c r="P189" s="130">
        <f t="shared" si="47"/>
        <v>0</v>
      </c>
      <c r="Q189" s="98">
        <f t="shared" si="48"/>
        <v>0</v>
      </c>
      <c r="R189" s="130">
        <f t="shared" si="49"/>
        <v>0</v>
      </c>
      <c r="V189" s="98"/>
    </row>
    <row r="190" spans="1:22" s="8" customFormat="1" ht="16.5" customHeight="1">
      <c r="A190" s="822" t="s">
        <v>725</v>
      </c>
      <c r="B190" s="766">
        <f>'Weight sheet'!C142</f>
        <v>4199043</v>
      </c>
      <c r="C190" s="766">
        <f>'Weight sheet'!D142</f>
        <v>52350</v>
      </c>
      <c r="D190" s="881">
        <f>'Weight sheet'!F142</f>
        <v>1</v>
      </c>
      <c r="E190" s="869">
        <f>'Weight sheet'!H142</f>
        <v>0.9</v>
      </c>
      <c r="F190" s="130">
        <f t="shared" si="41"/>
        <v>0.9</v>
      </c>
      <c r="G190" s="278">
        <v>50.9</v>
      </c>
      <c r="H190" s="130">
        <f t="shared" si="42"/>
        <v>129.286</v>
      </c>
      <c r="I190" s="98">
        <f t="shared" si="43"/>
        <v>116.3574</v>
      </c>
      <c r="J190" s="279">
        <v>0</v>
      </c>
      <c r="K190" s="98">
        <f t="shared" si="44"/>
        <v>0</v>
      </c>
      <c r="L190" s="280">
        <f t="shared" si="50"/>
        <v>50.9</v>
      </c>
      <c r="M190" s="130">
        <f t="shared" si="45"/>
        <v>129.286</v>
      </c>
      <c r="N190" s="98">
        <f t="shared" si="46"/>
        <v>0</v>
      </c>
      <c r="O190" s="281">
        <v>0</v>
      </c>
      <c r="P190" s="130">
        <f t="shared" si="47"/>
        <v>0</v>
      </c>
      <c r="Q190" s="98">
        <f t="shared" si="48"/>
        <v>0</v>
      </c>
      <c r="R190" s="130">
        <f t="shared" si="49"/>
        <v>0</v>
      </c>
      <c r="V190" s="98"/>
    </row>
    <row r="191" spans="1:22" s="8" customFormat="1" ht="16.5" customHeight="1">
      <c r="A191" s="822" t="s">
        <v>726</v>
      </c>
      <c r="B191" s="766">
        <f>'Weight sheet'!C143</f>
        <v>4199400</v>
      </c>
      <c r="C191" s="766">
        <f>'Weight sheet'!D143</f>
        <v>52349</v>
      </c>
      <c r="D191" s="881">
        <f>'Weight sheet'!F143</f>
        <v>1</v>
      </c>
      <c r="E191" s="869">
        <f>'Weight sheet'!H143</f>
        <v>7.2</v>
      </c>
      <c r="F191" s="130">
        <f t="shared" si="41"/>
        <v>7.2</v>
      </c>
      <c r="G191" s="278">
        <v>51.04</v>
      </c>
      <c r="H191" s="130">
        <f t="shared" si="42"/>
        <v>129.6416</v>
      </c>
      <c r="I191" s="98">
        <f t="shared" si="43"/>
        <v>933.4195200000001</v>
      </c>
      <c r="J191" s="279">
        <v>0</v>
      </c>
      <c r="K191" s="98">
        <f t="shared" si="44"/>
        <v>0</v>
      </c>
      <c r="L191" s="280">
        <f t="shared" si="50"/>
        <v>51.04</v>
      </c>
      <c r="M191" s="130">
        <f t="shared" si="45"/>
        <v>129.6416</v>
      </c>
      <c r="N191" s="98">
        <f t="shared" si="46"/>
        <v>0</v>
      </c>
      <c r="O191" s="281">
        <v>0</v>
      </c>
      <c r="P191" s="130">
        <f t="shared" si="47"/>
        <v>0</v>
      </c>
      <c r="Q191" s="98">
        <f t="shared" si="48"/>
        <v>0</v>
      </c>
      <c r="R191" s="130">
        <f t="shared" si="49"/>
        <v>0</v>
      </c>
      <c r="V191" s="98"/>
    </row>
    <row r="192" spans="1:22" s="8" customFormat="1" ht="16.5" customHeight="1">
      <c r="A192" s="822" t="s">
        <v>727</v>
      </c>
      <c r="B192" s="766">
        <f>'Weight sheet'!C144</f>
        <v>4199399</v>
      </c>
      <c r="C192" s="766">
        <f>'Weight sheet'!D144</f>
        <v>52348</v>
      </c>
      <c r="D192" s="881">
        <f>'Weight sheet'!F144</f>
        <v>1</v>
      </c>
      <c r="E192" s="869">
        <f>'Weight sheet'!H144</f>
        <v>315.5</v>
      </c>
      <c r="F192" s="130">
        <f t="shared" si="41"/>
        <v>315.5</v>
      </c>
      <c r="G192" s="278">
        <v>49.58</v>
      </c>
      <c r="H192" s="130">
        <f t="shared" si="42"/>
        <v>125.9332</v>
      </c>
      <c r="I192" s="98">
        <f t="shared" si="43"/>
        <v>39731.9246</v>
      </c>
      <c r="J192" s="279">
        <v>0</v>
      </c>
      <c r="K192" s="98">
        <f t="shared" si="44"/>
        <v>0</v>
      </c>
      <c r="L192" s="280">
        <f t="shared" si="50"/>
        <v>49.58</v>
      </c>
      <c r="M192" s="130">
        <f t="shared" si="45"/>
        <v>125.9332</v>
      </c>
      <c r="N192" s="98">
        <f t="shared" si="46"/>
        <v>0</v>
      </c>
      <c r="O192" s="281">
        <v>0</v>
      </c>
      <c r="P192" s="130">
        <f t="shared" si="47"/>
        <v>0</v>
      </c>
      <c r="Q192" s="98">
        <f t="shared" si="48"/>
        <v>0</v>
      </c>
      <c r="R192" s="130">
        <f t="shared" si="49"/>
        <v>0</v>
      </c>
      <c r="V192" s="98"/>
    </row>
    <row r="193" spans="1:22" s="8" customFormat="1" ht="16.5" customHeight="1">
      <c r="A193" s="823" t="s">
        <v>728</v>
      </c>
      <c r="B193" s="773">
        <f>'Weight sheet'!C146</f>
        <v>4199319</v>
      </c>
      <c r="C193" s="773">
        <f>'Weight sheet'!D146</f>
        <v>49803</v>
      </c>
      <c r="D193" s="881">
        <f>'Weight sheet'!F146</f>
        <v>1</v>
      </c>
      <c r="E193" s="869">
        <f>'Weight sheet'!H146</f>
        <v>110.8</v>
      </c>
      <c r="F193" s="130">
        <f t="shared" si="41"/>
        <v>110.8</v>
      </c>
      <c r="G193" s="278">
        <v>47.72</v>
      </c>
      <c r="H193" s="130">
        <f t="shared" si="42"/>
        <v>121.2088</v>
      </c>
      <c r="I193" s="98">
        <f t="shared" si="43"/>
        <v>13429.935039999998</v>
      </c>
      <c r="J193" s="279">
        <v>0</v>
      </c>
      <c r="K193" s="98">
        <f t="shared" si="44"/>
        <v>0</v>
      </c>
      <c r="L193" s="280">
        <f t="shared" si="50"/>
        <v>47.72</v>
      </c>
      <c r="M193" s="130">
        <f t="shared" si="45"/>
        <v>121.2088</v>
      </c>
      <c r="N193" s="98">
        <f t="shared" si="46"/>
        <v>0</v>
      </c>
      <c r="O193" s="281">
        <v>0</v>
      </c>
      <c r="P193" s="130">
        <f t="shared" si="47"/>
        <v>0</v>
      </c>
      <c r="Q193" s="98">
        <f t="shared" si="48"/>
        <v>0</v>
      </c>
      <c r="R193" s="130">
        <f t="shared" si="49"/>
        <v>0</v>
      </c>
      <c r="V193" s="98"/>
    </row>
    <row r="194" spans="1:22" s="8" customFormat="1" ht="16.5" customHeight="1">
      <c r="A194" s="822" t="s">
        <v>729</v>
      </c>
      <c r="B194" s="773">
        <f>'Weight sheet'!C147</f>
        <v>4199093</v>
      </c>
      <c r="C194" s="773">
        <f>'Weight sheet'!D147</f>
        <v>52459</v>
      </c>
      <c r="D194" s="881">
        <f>'Weight sheet'!F147</f>
        <v>1</v>
      </c>
      <c r="E194" s="869">
        <f>'Weight sheet'!H147</f>
        <v>3.2</v>
      </c>
      <c r="F194" s="130">
        <f t="shared" si="41"/>
        <v>3.2</v>
      </c>
      <c r="G194" s="278">
        <v>47.69</v>
      </c>
      <c r="H194" s="130">
        <f t="shared" si="42"/>
        <v>121.1326</v>
      </c>
      <c r="I194" s="98">
        <f t="shared" si="43"/>
        <v>387.62432</v>
      </c>
      <c r="J194" s="279">
        <v>0</v>
      </c>
      <c r="K194" s="98">
        <f t="shared" si="44"/>
        <v>0</v>
      </c>
      <c r="L194" s="280">
        <f t="shared" si="50"/>
        <v>47.69</v>
      </c>
      <c r="M194" s="130">
        <f t="shared" si="45"/>
        <v>121.1326</v>
      </c>
      <c r="N194" s="98">
        <f t="shared" si="46"/>
        <v>0</v>
      </c>
      <c r="O194" s="281">
        <v>0</v>
      </c>
      <c r="P194" s="130">
        <f t="shared" si="47"/>
        <v>0</v>
      </c>
      <c r="Q194" s="98">
        <f t="shared" si="48"/>
        <v>0</v>
      </c>
      <c r="R194" s="130">
        <f t="shared" si="49"/>
        <v>0</v>
      </c>
      <c r="V194" s="98"/>
    </row>
    <row r="195" spans="1:22" s="8" customFormat="1" ht="16.5" customHeight="1">
      <c r="A195" s="823" t="s">
        <v>730</v>
      </c>
      <c r="B195" s="773">
        <f>'Weight sheet'!C148</f>
        <v>4199055</v>
      </c>
      <c r="C195" s="773">
        <f>'Weight sheet'!D148</f>
        <v>52407</v>
      </c>
      <c r="D195" s="881">
        <f>'Weight sheet'!F148</f>
        <v>1</v>
      </c>
      <c r="E195" s="869">
        <f>'Weight sheet'!H148</f>
        <v>0.5</v>
      </c>
      <c r="F195" s="130">
        <f t="shared" si="41"/>
        <v>0.5</v>
      </c>
      <c r="G195" s="278">
        <v>48.23</v>
      </c>
      <c r="H195" s="130">
        <f t="shared" si="42"/>
        <v>122.5042</v>
      </c>
      <c r="I195" s="98">
        <f t="shared" si="43"/>
        <v>61.2521</v>
      </c>
      <c r="J195" s="279">
        <v>0</v>
      </c>
      <c r="K195" s="98">
        <f t="shared" si="44"/>
        <v>0</v>
      </c>
      <c r="L195" s="280">
        <f t="shared" si="50"/>
        <v>48.23</v>
      </c>
      <c r="M195" s="130">
        <f t="shared" si="45"/>
        <v>122.5042</v>
      </c>
      <c r="N195" s="98">
        <f t="shared" si="46"/>
        <v>0</v>
      </c>
      <c r="O195" s="281">
        <v>0</v>
      </c>
      <c r="P195" s="130">
        <f t="shared" si="47"/>
        <v>0</v>
      </c>
      <c r="Q195" s="98">
        <f t="shared" si="48"/>
        <v>0</v>
      </c>
      <c r="R195" s="130">
        <f t="shared" si="49"/>
        <v>0</v>
      </c>
      <c r="V195" s="98"/>
    </row>
    <row r="196" spans="1:22" s="8" customFormat="1" ht="16.5" customHeight="1">
      <c r="A196" s="822" t="s">
        <v>731</v>
      </c>
      <c r="B196" s="773">
        <f>'Weight sheet'!C149</f>
        <v>4199077</v>
      </c>
      <c r="C196" s="773">
        <f>'Weight sheet'!D149</f>
        <v>52436</v>
      </c>
      <c r="D196" s="881">
        <f>'Weight sheet'!F149</f>
        <v>1</v>
      </c>
      <c r="E196" s="869">
        <f>'Weight sheet'!H149</f>
        <v>16.2</v>
      </c>
      <c r="F196" s="130">
        <f t="shared" si="41"/>
        <v>16.2</v>
      </c>
      <c r="G196" s="278">
        <v>47.75</v>
      </c>
      <c r="H196" s="130">
        <f t="shared" si="42"/>
        <v>121.285</v>
      </c>
      <c r="I196" s="98">
        <f t="shared" si="43"/>
        <v>1964.8169999999998</v>
      </c>
      <c r="J196" s="279">
        <v>0</v>
      </c>
      <c r="K196" s="98">
        <f t="shared" si="44"/>
        <v>0</v>
      </c>
      <c r="L196" s="280">
        <f t="shared" si="50"/>
        <v>47.75</v>
      </c>
      <c r="M196" s="130">
        <f t="shared" si="45"/>
        <v>121.285</v>
      </c>
      <c r="N196" s="98">
        <f t="shared" si="46"/>
        <v>0</v>
      </c>
      <c r="O196" s="281">
        <v>1.15</v>
      </c>
      <c r="P196" s="130">
        <f t="shared" si="47"/>
        <v>2.921</v>
      </c>
      <c r="Q196" s="98">
        <f t="shared" si="48"/>
        <v>47.32019999999999</v>
      </c>
      <c r="R196" s="130">
        <f t="shared" si="49"/>
        <v>0</v>
      </c>
      <c r="V196" s="98"/>
    </row>
    <row r="197" spans="1:22" s="8" customFormat="1" ht="16.5" customHeight="1">
      <c r="A197" s="822" t="s">
        <v>732</v>
      </c>
      <c r="B197" s="773">
        <f>'Weight sheet'!C150</f>
        <v>4199063</v>
      </c>
      <c r="C197" s="773">
        <f>'Weight sheet'!D150</f>
        <v>52418</v>
      </c>
      <c r="D197" s="881">
        <f>'Weight sheet'!F150</f>
        <v>1</v>
      </c>
      <c r="E197" s="869">
        <f>'Weight sheet'!H150</f>
        <v>0.9</v>
      </c>
      <c r="F197" s="130">
        <f t="shared" si="41"/>
        <v>0.9</v>
      </c>
      <c r="G197" s="278">
        <v>45.17</v>
      </c>
      <c r="H197" s="130">
        <f t="shared" si="42"/>
        <v>114.7318</v>
      </c>
      <c r="I197" s="98">
        <f t="shared" si="43"/>
        <v>103.25862000000001</v>
      </c>
      <c r="J197" s="279">
        <v>0</v>
      </c>
      <c r="K197" s="98">
        <f t="shared" si="44"/>
        <v>0</v>
      </c>
      <c r="L197" s="280">
        <f t="shared" si="50"/>
        <v>45.17</v>
      </c>
      <c r="M197" s="130">
        <f t="shared" si="45"/>
        <v>114.7318</v>
      </c>
      <c r="N197" s="98">
        <f t="shared" si="46"/>
        <v>0</v>
      </c>
      <c r="O197" s="281">
        <v>0</v>
      </c>
      <c r="P197" s="130">
        <f t="shared" si="47"/>
        <v>0</v>
      </c>
      <c r="Q197" s="98">
        <f t="shared" si="48"/>
        <v>0</v>
      </c>
      <c r="R197" s="130">
        <f t="shared" si="49"/>
        <v>0</v>
      </c>
      <c r="V197" s="98"/>
    </row>
    <row r="198" spans="1:22" s="8" customFormat="1" ht="16.5" customHeight="1">
      <c r="A198" s="822" t="s">
        <v>733</v>
      </c>
      <c r="B198" s="773">
        <f>'Weight sheet'!C151</f>
        <v>4199046</v>
      </c>
      <c r="C198" s="773">
        <f>'Weight sheet'!D151</f>
        <v>52353</v>
      </c>
      <c r="D198" s="881">
        <f>'Weight sheet'!F151</f>
        <v>1</v>
      </c>
      <c r="E198" s="869">
        <f>'Weight sheet'!H151</f>
        <v>13.9</v>
      </c>
      <c r="F198" s="130">
        <f t="shared" si="41"/>
        <v>13.9</v>
      </c>
      <c r="G198" s="278">
        <v>47.69</v>
      </c>
      <c r="H198" s="130">
        <f t="shared" si="42"/>
        <v>121.1326</v>
      </c>
      <c r="I198" s="98">
        <f t="shared" si="43"/>
        <v>1683.74314</v>
      </c>
      <c r="J198" s="279">
        <v>0</v>
      </c>
      <c r="K198" s="98">
        <f t="shared" si="44"/>
        <v>0</v>
      </c>
      <c r="L198" s="280">
        <f t="shared" si="50"/>
        <v>47.69</v>
      </c>
      <c r="M198" s="130">
        <f t="shared" si="45"/>
        <v>121.1326</v>
      </c>
      <c r="N198" s="98">
        <f t="shared" si="46"/>
        <v>0</v>
      </c>
      <c r="O198" s="281">
        <v>0</v>
      </c>
      <c r="P198" s="130">
        <f t="shared" si="47"/>
        <v>0</v>
      </c>
      <c r="Q198" s="98">
        <f t="shared" si="48"/>
        <v>0</v>
      </c>
      <c r="R198" s="130">
        <f t="shared" si="49"/>
        <v>0</v>
      </c>
      <c r="V198" s="98"/>
    </row>
    <row r="199" spans="1:22" s="8" customFormat="1" ht="16.5" customHeight="1">
      <c r="A199" s="822" t="s">
        <v>734</v>
      </c>
      <c r="B199" s="773" t="str">
        <f>'Weight sheet'!C152</f>
        <v>4199111 / 4199122</v>
      </c>
      <c r="C199" s="773" t="str">
        <f>'Weight sheet'!D152</f>
        <v>55183 / 55217</v>
      </c>
      <c r="D199" s="881">
        <f>'Weight sheet'!F152</f>
        <v>1</v>
      </c>
      <c r="E199" s="869">
        <f>'Weight sheet'!H152</f>
        <v>7.8</v>
      </c>
      <c r="F199" s="130">
        <f t="shared" si="41"/>
        <v>7.8</v>
      </c>
      <c r="G199" s="278">
        <v>48.12</v>
      </c>
      <c r="H199" s="130">
        <f t="shared" si="42"/>
        <v>122.2248</v>
      </c>
      <c r="I199" s="98">
        <f t="shared" si="43"/>
        <v>953.35344</v>
      </c>
      <c r="J199" s="279">
        <v>0</v>
      </c>
      <c r="K199" s="98">
        <f t="shared" si="44"/>
        <v>0</v>
      </c>
      <c r="L199" s="280">
        <f t="shared" si="50"/>
        <v>48.12</v>
      </c>
      <c r="M199" s="130">
        <f t="shared" si="45"/>
        <v>122.2248</v>
      </c>
      <c r="N199" s="98">
        <f t="shared" si="46"/>
        <v>0</v>
      </c>
      <c r="O199" s="281">
        <v>0</v>
      </c>
      <c r="P199" s="130">
        <f t="shared" si="47"/>
        <v>0</v>
      </c>
      <c r="Q199" s="98">
        <f t="shared" si="48"/>
        <v>0</v>
      </c>
      <c r="R199" s="130">
        <f t="shared" si="49"/>
        <v>0</v>
      </c>
      <c r="V199" s="98"/>
    </row>
    <row r="200" spans="1:22" s="8" customFormat="1" ht="16.5" customHeight="1">
      <c r="A200" s="822" t="s">
        <v>735</v>
      </c>
      <c r="B200" s="773" t="str">
        <f>'Weight sheet'!C153</f>
        <v>4199081 / 4199082</v>
      </c>
      <c r="C200" s="773" t="str">
        <f>'Weight sheet'!D153</f>
        <v>52445 / 52446</v>
      </c>
      <c r="D200" s="881">
        <f>'Weight sheet'!F153</f>
        <v>1</v>
      </c>
      <c r="E200" s="869">
        <f>'Weight sheet'!H153</f>
        <v>0.4</v>
      </c>
      <c r="F200" s="130">
        <f t="shared" si="41"/>
        <v>0.4</v>
      </c>
      <c r="G200" s="278">
        <v>51.512</v>
      </c>
      <c r="H200" s="130">
        <f t="shared" si="42"/>
        <v>130.84048</v>
      </c>
      <c r="I200" s="98">
        <f t="shared" si="43"/>
        <v>52.33619200000001</v>
      </c>
      <c r="J200" s="226">
        <v>0</v>
      </c>
      <c r="K200" s="98">
        <f t="shared" si="44"/>
        <v>0</v>
      </c>
      <c r="L200" s="280">
        <f t="shared" si="50"/>
        <v>51.512</v>
      </c>
      <c r="M200" s="130">
        <f t="shared" si="45"/>
        <v>130.84048</v>
      </c>
      <c r="N200" s="98">
        <f t="shared" si="46"/>
        <v>0</v>
      </c>
      <c r="O200" s="281">
        <v>-0.5</v>
      </c>
      <c r="P200" s="130">
        <f t="shared" si="47"/>
        <v>-1.27</v>
      </c>
      <c r="Q200" s="98">
        <f t="shared" si="48"/>
        <v>-0.508</v>
      </c>
      <c r="R200" s="130">
        <f t="shared" si="49"/>
        <v>0</v>
      </c>
      <c r="V200" s="98"/>
    </row>
    <row r="201" spans="1:22" s="8" customFormat="1" ht="16.5" customHeight="1">
      <c r="A201" s="824" t="s">
        <v>625</v>
      </c>
      <c r="B201" s="773" t="str">
        <f>'Weight sheet'!C154</f>
        <v>4199338 / 4199056</v>
      </c>
      <c r="C201" s="773" t="str">
        <f>'Weight sheet'!D154</f>
        <v>49852 / 52408</v>
      </c>
      <c r="D201" s="881">
        <f>'Weight sheet'!F154</f>
        <v>1</v>
      </c>
      <c r="E201" s="869">
        <f>'Weight sheet'!H154</f>
        <v>47.9</v>
      </c>
      <c r="F201" s="130">
        <f t="shared" si="41"/>
        <v>47.9</v>
      </c>
      <c r="G201" s="278">
        <v>52.47</v>
      </c>
      <c r="H201" s="130">
        <f t="shared" si="42"/>
        <v>133.2738</v>
      </c>
      <c r="I201" s="316">
        <f t="shared" si="43"/>
        <v>6383.815019999999</v>
      </c>
      <c r="J201" s="227">
        <v>0</v>
      </c>
      <c r="K201" s="130">
        <f t="shared" si="44"/>
        <v>0</v>
      </c>
      <c r="L201" s="280">
        <f t="shared" si="50"/>
        <v>52.47</v>
      </c>
      <c r="M201" s="130">
        <f t="shared" si="45"/>
        <v>133.2738</v>
      </c>
      <c r="N201" s="98"/>
      <c r="O201" s="281">
        <v>0</v>
      </c>
      <c r="P201" s="130">
        <f t="shared" si="47"/>
        <v>0</v>
      </c>
      <c r="Q201" s="98">
        <f t="shared" si="48"/>
        <v>0</v>
      </c>
      <c r="R201" s="130">
        <f t="shared" si="49"/>
        <v>0</v>
      </c>
      <c r="V201" s="98"/>
    </row>
    <row r="202" spans="1:22" s="8" customFormat="1" ht="16.5" customHeight="1">
      <c r="A202" s="822" t="s">
        <v>627</v>
      </c>
      <c r="B202" s="773">
        <f>'Weight sheet'!C155</f>
        <v>4199078</v>
      </c>
      <c r="C202" s="773">
        <f>'Weight sheet'!D155</f>
        <v>52441</v>
      </c>
      <c r="D202" s="881">
        <f>'Weight sheet'!F155</f>
        <v>1</v>
      </c>
      <c r="E202" s="869">
        <f>'Weight sheet'!H155</f>
        <v>113.5</v>
      </c>
      <c r="F202" s="317">
        <f>E202*D202+(Oil_wt_2-(C20*Cal!D44*Oil_density))</f>
        <v>651.7023212806174</v>
      </c>
      <c r="G202" s="278">
        <v>54.613</v>
      </c>
      <c r="H202" s="130">
        <f t="shared" si="42"/>
        <v>138.71702</v>
      </c>
      <c r="I202" s="98">
        <f t="shared" si="43"/>
        <v>90402.20393512983</v>
      </c>
      <c r="J202" s="318">
        <f>Total_Oil_Vol-C20*Cal!D44+E202/1</f>
        <v>767.5313201854628</v>
      </c>
      <c r="K202" s="98">
        <f t="shared" si="44"/>
        <v>767.5313201854628</v>
      </c>
      <c r="L202" s="319">
        <v>54.613</v>
      </c>
      <c r="M202" s="130">
        <f t="shared" si="45"/>
        <v>138.71702</v>
      </c>
      <c r="N202" s="98">
        <f aca="true" t="shared" si="51" ref="N202:N221">K202*M202</f>
        <v>106469.65749279325</v>
      </c>
      <c r="O202" s="281">
        <v>0</v>
      </c>
      <c r="P202" s="130">
        <f t="shared" si="47"/>
        <v>0</v>
      </c>
      <c r="Q202" s="98">
        <f t="shared" si="48"/>
        <v>0</v>
      </c>
      <c r="R202" s="130">
        <f t="shared" si="49"/>
        <v>0</v>
      </c>
      <c r="S202" s="320"/>
      <c r="V202" s="98"/>
    </row>
    <row r="203" spans="1:22" s="8" customFormat="1" ht="16.5" customHeight="1">
      <c r="A203" s="822" t="s">
        <v>628</v>
      </c>
      <c r="B203" s="773">
        <f>'Weight sheet'!C156</f>
        <v>4199318</v>
      </c>
      <c r="C203" s="773">
        <f>'Weight sheet'!D156</f>
        <v>49802</v>
      </c>
      <c r="D203" s="881">
        <f>'Weight sheet'!F156</f>
        <v>1</v>
      </c>
      <c r="E203" s="869">
        <f>'Weight sheet'!H156</f>
        <v>109.4</v>
      </c>
      <c r="F203" s="130">
        <f aca="true" t="shared" si="52" ref="F203:F221">E203*D203</f>
        <v>109.4</v>
      </c>
      <c r="G203" s="278">
        <v>51.6</v>
      </c>
      <c r="H203" s="130">
        <f t="shared" si="42"/>
        <v>131.064</v>
      </c>
      <c r="I203" s="98">
        <f t="shared" si="43"/>
        <v>14338.4016</v>
      </c>
      <c r="J203" s="226">
        <f>E203/Alum_density</f>
        <v>40.32436417250277</v>
      </c>
      <c r="K203" s="98">
        <f t="shared" si="44"/>
        <v>40.32436417250277</v>
      </c>
      <c r="L203" s="280">
        <f aca="true" t="shared" si="53" ref="L203:L221">G203</f>
        <v>51.6</v>
      </c>
      <c r="M203" s="130">
        <f t="shared" si="45"/>
        <v>131.064</v>
      </c>
      <c r="N203" s="98">
        <f t="shared" si="51"/>
        <v>5285.072465904903</v>
      </c>
      <c r="O203" s="281">
        <v>0</v>
      </c>
      <c r="P203" s="130">
        <f t="shared" si="47"/>
        <v>0</v>
      </c>
      <c r="Q203" s="98">
        <f t="shared" si="48"/>
        <v>0</v>
      </c>
      <c r="R203" s="130">
        <f t="shared" si="49"/>
        <v>0</v>
      </c>
      <c r="V203" s="98"/>
    </row>
    <row r="204" spans="1:22" s="8" customFormat="1" ht="16.5" customHeight="1">
      <c r="A204" s="822" t="s">
        <v>629</v>
      </c>
      <c r="B204" s="773">
        <f>'Weight sheet'!C157</f>
        <v>4198988</v>
      </c>
      <c r="C204" s="773">
        <f>'Weight sheet'!D157</f>
        <v>52160</v>
      </c>
      <c r="D204" s="881">
        <f>'Weight sheet'!F157</f>
        <v>1</v>
      </c>
      <c r="E204" s="869">
        <f>'Weight sheet'!H157</f>
        <v>11.5</v>
      </c>
      <c r="F204" s="130">
        <f t="shared" si="52"/>
        <v>11.5</v>
      </c>
      <c r="G204" s="278">
        <v>51.512</v>
      </c>
      <c r="H204" s="130">
        <f t="shared" si="42"/>
        <v>130.84048</v>
      </c>
      <c r="I204" s="98">
        <f t="shared" si="43"/>
        <v>1504.6655200000002</v>
      </c>
      <c r="J204" s="226">
        <v>0.793</v>
      </c>
      <c r="K204" s="130">
        <f t="shared" si="44"/>
        <v>0.793</v>
      </c>
      <c r="L204" s="130">
        <f t="shared" si="53"/>
        <v>51.512</v>
      </c>
      <c r="M204" s="130">
        <f t="shared" si="45"/>
        <v>130.84048</v>
      </c>
      <c r="N204" s="98">
        <f t="shared" si="51"/>
        <v>103.75650064000001</v>
      </c>
      <c r="O204" s="281">
        <v>1.7</v>
      </c>
      <c r="P204" s="130">
        <f t="shared" si="47"/>
        <v>4.318</v>
      </c>
      <c r="Q204" s="98">
        <f t="shared" si="48"/>
        <v>49.657</v>
      </c>
      <c r="R204" s="130">
        <f t="shared" si="49"/>
        <v>3.424174</v>
      </c>
      <c r="V204" s="98"/>
    </row>
    <row r="205" spans="1:22" s="8" customFormat="1" ht="16.5" customHeight="1">
      <c r="A205" s="822" t="s">
        <v>630</v>
      </c>
      <c r="B205" s="773">
        <f>'Weight sheet'!C158</f>
        <v>4198988</v>
      </c>
      <c r="C205" s="773">
        <f>'Weight sheet'!D158</f>
        <v>52160</v>
      </c>
      <c r="D205" s="881">
        <f>'Weight sheet'!F158</f>
        <v>1</v>
      </c>
      <c r="E205" s="869">
        <f>'Weight sheet'!H158</f>
        <v>11.5</v>
      </c>
      <c r="F205" s="130">
        <f t="shared" si="52"/>
        <v>11.5</v>
      </c>
      <c r="G205" s="278">
        <v>51.512</v>
      </c>
      <c r="H205" s="130">
        <f t="shared" si="42"/>
        <v>130.84048</v>
      </c>
      <c r="I205" s="98">
        <f t="shared" si="43"/>
        <v>1504.6655200000002</v>
      </c>
      <c r="J205" s="226">
        <v>0.793</v>
      </c>
      <c r="K205" s="130">
        <f t="shared" si="44"/>
        <v>0.793</v>
      </c>
      <c r="L205" s="130">
        <f t="shared" si="53"/>
        <v>51.512</v>
      </c>
      <c r="M205" s="130">
        <f t="shared" si="45"/>
        <v>130.84048</v>
      </c>
      <c r="N205" s="98">
        <f t="shared" si="51"/>
        <v>103.75650064000001</v>
      </c>
      <c r="O205" s="281">
        <v>0</v>
      </c>
      <c r="P205" s="130">
        <f t="shared" si="47"/>
        <v>0</v>
      </c>
      <c r="Q205" s="98">
        <f t="shared" si="48"/>
        <v>0</v>
      </c>
      <c r="R205" s="130">
        <f t="shared" si="49"/>
        <v>0</v>
      </c>
      <c r="V205" s="98"/>
    </row>
    <row r="206" spans="1:22" s="8" customFormat="1" ht="16.5" customHeight="1">
      <c r="A206" s="822" t="s">
        <v>631</v>
      </c>
      <c r="B206" s="773">
        <f>'Weight sheet'!C159</f>
        <v>4198988</v>
      </c>
      <c r="C206" s="773">
        <f>'Weight sheet'!D159</f>
        <v>52160</v>
      </c>
      <c r="D206" s="881">
        <f>'Weight sheet'!F159</f>
        <v>1</v>
      </c>
      <c r="E206" s="869">
        <f>'Weight sheet'!H159</f>
        <v>11.5</v>
      </c>
      <c r="F206" s="130">
        <f t="shared" si="52"/>
        <v>11.5</v>
      </c>
      <c r="G206" s="278">
        <v>51.512</v>
      </c>
      <c r="H206" s="130">
        <f t="shared" si="42"/>
        <v>130.84048</v>
      </c>
      <c r="I206" s="98">
        <f t="shared" si="43"/>
        <v>1504.6655200000002</v>
      </c>
      <c r="J206" s="226">
        <v>0.793</v>
      </c>
      <c r="K206" s="130">
        <f t="shared" si="44"/>
        <v>0.793</v>
      </c>
      <c r="L206" s="130">
        <f t="shared" si="53"/>
        <v>51.512</v>
      </c>
      <c r="M206" s="130">
        <f t="shared" si="45"/>
        <v>130.84048</v>
      </c>
      <c r="N206" s="98">
        <f t="shared" si="51"/>
        <v>103.75650064000001</v>
      </c>
      <c r="O206" s="281">
        <v>-1.7</v>
      </c>
      <c r="P206" s="130">
        <f t="shared" si="47"/>
        <v>-4.318</v>
      </c>
      <c r="Q206" s="98">
        <f t="shared" si="48"/>
        <v>-49.657</v>
      </c>
      <c r="R206" s="130">
        <f t="shared" si="49"/>
        <v>-3.424174</v>
      </c>
      <c r="V206" s="98"/>
    </row>
    <row r="207" spans="1:22" s="8" customFormat="1" ht="16.5" customHeight="1">
      <c r="A207" s="822" t="s">
        <v>632</v>
      </c>
      <c r="B207" s="773">
        <f>'Weight sheet'!C160</f>
        <v>4198988</v>
      </c>
      <c r="C207" s="773">
        <f>'Weight sheet'!D160</f>
        <v>52160</v>
      </c>
      <c r="D207" s="881">
        <f>'Weight sheet'!F160</f>
        <v>1</v>
      </c>
      <c r="E207" s="869">
        <f>'Weight sheet'!H160</f>
        <v>11.5</v>
      </c>
      <c r="F207" s="130">
        <f t="shared" si="52"/>
        <v>11.5</v>
      </c>
      <c r="G207" s="278">
        <v>51.512</v>
      </c>
      <c r="H207" s="130">
        <f t="shared" si="42"/>
        <v>130.84048</v>
      </c>
      <c r="I207" s="98">
        <f t="shared" si="43"/>
        <v>1504.6655200000002</v>
      </c>
      <c r="J207" s="226">
        <v>0.793</v>
      </c>
      <c r="K207" s="130">
        <f t="shared" si="44"/>
        <v>0.793</v>
      </c>
      <c r="L207" s="130">
        <f t="shared" si="53"/>
        <v>51.512</v>
      </c>
      <c r="M207" s="130">
        <f t="shared" si="45"/>
        <v>130.84048</v>
      </c>
      <c r="N207" s="98">
        <f t="shared" si="51"/>
        <v>103.75650064000001</v>
      </c>
      <c r="O207" s="281">
        <v>-2.3</v>
      </c>
      <c r="P207" s="130">
        <f t="shared" si="47"/>
        <v>-5.842</v>
      </c>
      <c r="Q207" s="98">
        <f t="shared" si="48"/>
        <v>-67.18299999999999</v>
      </c>
      <c r="R207" s="130">
        <f t="shared" si="49"/>
        <v>-4.632706</v>
      </c>
      <c r="V207" s="98"/>
    </row>
    <row r="208" spans="1:22" s="8" customFormat="1" ht="16.5" customHeight="1">
      <c r="A208" s="822" t="s">
        <v>633</v>
      </c>
      <c r="B208" s="773">
        <f>'Weight sheet'!C161</f>
        <v>4198988</v>
      </c>
      <c r="C208" s="773">
        <f>'Weight sheet'!D161</f>
        <v>52160</v>
      </c>
      <c r="D208" s="881">
        <f>'Weight sheet'!F161</f>
        <v>1</v>
      </c>
      <c r="E208" s="869">
        <f>'Weight sheet'!H161</f>
        <v>11.5</v>
      </c>
      <c r="F208" s="130">
        <f t="shared" si="52"/>
        <v>11.5</v>
      </c>
      <c r="G208" s="278">
        <v>51.512</v>
      </c>
      <c r="H208" s="130">
        <f t="shared" si="42"/>
        <v>130.84048</v>
      </c>
      <c r="I208" s="98">
        <f t="shared" si="43"/>
        <v>1504.6655200000002</v>
      </c>
      <c r="J208" s="226">
        <v>0.793</v>
      </c>
      <c r="K208" s="130">
        <f t="shared" si="44"/>
        <v>0.793</v>
      </c>
      <c r="L208" s="130">
        <f t="shared" si="53"/>
        <v>51.512</v>
      </c>
      <c r="M208" s="130">
        <f t="shared" si="45"/>
        <v>130.84048</v>
      </c>
      <c r="N208" s="98">
        <f t="shared" si="51"/>
        <v>103.75650064000001</v>
      </c>
      <c r="O208" s="281">
        <v>-1.7</v>
      </c>
      <c r="P208" s="130">
        <f t="shared" si="47"/>
        <v>-4.318</v>
      </c>
      <c r="Q208" s="98">
        <f t="shared" si="48"/>
        <v>-49.657</v>
      </c>
      <c r="R208" s="130">
        <f t="shared" si="49"/>
        <v>-3.424174</v>
      </c>
      <c r="V208" s="98"/>
    </row>
    <row r="209" spans="1:22" s="8" customFormat="1" ht="16.5" customHeight="1">
      <c r="A209" s="822" t="s">
        <v>634</v>
      </c>
      <c r="B209" s="773">
        <f>'Weight sheet'!C162</f>
        <v>4198988</v>
      </c>
      <c r="C209" s="773">
        <f>'Weight sheet'!D162</f>
        <v>52160</v>
      </c>
      <c r="D209" s="881">
        <f>'Weight sheet'!F162</f>
        <v>1</v>
      </c>
      <c r="E209" s="869">
        <f>'Weight sheet'!H162</f>
        <v>11.5</v>
      </c>
      <c r="F209" s="130">
        <f t="shared" si="52"/>
        <v>11.5</v>
      </c>
      <c r="G209" s="278">
        <v>51.512</v>
      </c>
      <c r="H209" s="130">
        <f t="shared" si="42"/>
        <v>130.84048</v>
      </c>
      <c r="I209" s="98">
        <f t="shared" si="43"/>
        <v>1504.6655200000002</v>
      </c>
      <c r="J209" s="226">
        <v>0.793</v>
      </c>
      <c r="K209" s="130">
        <f t="shared" si="44"/>
        <v>0.793</v>
      </c>
      <c r="L209" s="130">
        <f t="shared" si="53"/>
        <v>51.512</v>
      </c>
      <c r="M209" s="130">
        <f t="shared" si="45"/>
        <v>130.84048</v>
      </c>
      <c r="N209" s="98">
        <f t="shared" si="51"/>
        <v>103.75650064000001</v>
      </c>
      <c r="O209" s="281">
        <v>1.7</v>
      </c>
      <c r="P209" s="130">
        <f t="shared" si="47"/>
        <v>4.318</v>
      </c>
      <c r="Q209" s="98">
        <f t="shared" si="48"/>
        <v>49.657</v>
      </c>
      <c r="R209" s="130">
        <f t="shared" si="49"/>
        <v>3.424174</v>
      </c>
      <c r="V209" s="98"/>
    </row>
    <row r="210" spans="1:22" s="8" customFormat="1" ht="16.5" customHeight="1">
      <c r="A210" s="822" t="s">
        <v>635</v>
      </c>
      <c r="B210" s="773">
        <f>'Weight sheet'!C163</f>
        <v>4199354</v>
      </c>
      <c r="C210" s="773">
        <f>'Weight sheet'!D163</f>
        <v>52241</v>
      </c>
      <c r="D210" s="881">
        <f>'Weight sheet'!F163</f>
        <v>1</v>
      </c>
      <c r="E210" s="869">
        <f>'Weight sheet'!H163</f>
        <v>64.6</v>
      </c>
      <c r="F210" s="130">
        <f t="shared" si="52"/>
        <v>64.6</v>
      </c>
      <c r="G210" s="278">
        <v>51.512</v>
      </c>
      <c r="H210" s="130">
        <f t="shared" si="42"/>
        <v>130.84048</v>
      </c>
      <c r="I210" s="98">
        <f t="shared" si="43"/>
        <v>8452.295008000001</v>
      </c>
      <c r="J210" s="226">
        <v>6.8</v>
      </c>
      <c r="K210" s="130">
        <f t="shared" si="44"/>
        <v>6.8</v>
      </c>
      <c r="L210" s="130">
        <f t="shared" si="53"/>
        <v>51.512</v>
      </c>
      <c r="M210" s="130">
        <f t="shared" si="45"/>
        <v>130.84048</v>
      </c>
      <c r="N210" s="98">
        <f t="shared" si="51"/>
        <v>889.715264</v>
      </c>
      <c r="O210" s="281">
        <v>0</v>
      </c>
      <c r="P210" s="130">
        <f t="shared" si="47"/>
        <v>0</v>
      </c>
      <c r="Q210" s="98">
        <f t="shared" si="48"/>
        <v>0</v>
      </c>
      <c r="R210" s="130">
        <f t="shared" si="49"/>
        <v>0</v>
      </c>
      <c r="V210" s="98"/>
    </row>
    <row r="211" spans="1:22" s="8" customFormat="1" ht="16.5" customHeight="1">
      <c r="A211" s="822" t="s">
        <v>529</v>
      </c>
      <c r="B211" s="773">
        <f>'Weight sheet'!C164</f>
        <v>4199085</v>
      </c>
      <c r="C211" s="773">
        <f>'Weight sheet'!D164</f>
        <v>52449</v>
      </c>
      <c r="D211" s="881">
        <f>'Weight sheet'!F164</f>
        <v>1</v>
      </c>
      <c r="E211" s="869">
        <f>'Weight sheet'!H164</f>
        <v>11.5</v>
      </c>
      <c r="F211" s="130">
        <f t="shared" si="52"/>
        <v>11.5</v>
      </c>
      <c r="G211" s="278">
        <v>51.512</v>
      </c>
      <c r="H211" s="130">
        <f t="shared" si="42"/>
        <v>130.84048</v>
      </c>
      <c r="I211" s="98">
        <f t="shared" si="43"/>
        <v>1504.6655200000002</v>
      </c>
      <c r="J211" s="226">
        <v>2.7</v>
      </c>
      <c r="K211" s="130">
        <f t="shared" si="44"/>
        <v>2.7</v>
      </c>
      <c r="L211" s="280">
        <f t="shared" si="53"/>
        <v>51.512</v>
      </c>
      <c r="M211" s="130">
        <f t="shared" si="45"/>
        <v>130.84048</v>
      </c>
      <c r="N211" s="98">
        <f t="shared" si="51"/>
        <v>353.26929600000005</v>
      </c>
      <c r="O211" s="281">
        <v>2.3</v>
      </c>
      <c r="P211" s="130">
        <f t="shared" si="47"/>
        <v>5.842</v>
      </c>
      <c r="Q211" s="98">
        <f t="shared" si="48"/>
        <v>67.18299999999999</v>
      </c>
      <c r="R211" s="130">
        <f t="shared" si="49"/>
        <v>15.7734</v>
      </c>
      <c r="V211" s="98"/>
    </row>
    <row r="212" spans="1:22" s="8" customFormat="1" ht="16.5" customHeight="1">
      <c r="A212" s="822" t="s">
        <v>530</v>
      </c>
      <c r="B212" s="773">
        <f>'Weight sheet'!C165</f>
        <v>4199320</v>
      </c>
      <c r="C212" s="773">
        <f>'Weight sheet'!D165</f>
        <v>49804</v>
      </c>
      <c r="D212" s="881">
        <f>'Weight sheet'!F165</f>
        <v>1</v>
      </c>
      <c r="E212" s="869">
        <f>'Weight sheet'!H165</f>
        <v>41.6</v>
      </c>
      <c r="F212" s="130">
        <f t="shared" si="52"/>
        <v>41.6</v>
      </c>
      <c r="G212" s="278">
        <v>47.3</v>
      </c>
      <c r="H212" s="130">
        <f t="shared" si="42"/>
        <v>120.142</v>
      </c>
      <c r="I212" s="98">
        <f t="shared" si="43"/>
        <v>4997.9072</v>
      </c>
      <c r="J212" s="279">
        <v>0</v>
      </c>
      <c r="K212" s="98">
        <f t="shared" si="44"/>
        <v>0</v>
      </c>
      <c r="L212" s="280">
        <f t="shared" si="53"/>
        <v>47.3</v>
      </c>
      <c r="M212" s="130">
        <f t="shared" si="45"/>
        <v>120.142</v>
      </c>
      <c r="N212" s="98">
        <f t="shared" si="51"/>
        <v>0</v>
      </c>
      <c r="O212" s="281">
        <v>0.75</v>
      </c>
      <c r="P212" s="130">
        <f t="shared" si="47"/>
        <v>1.905</v>
      </c>
      <c r="Q212" s="98">
        <f t="shared" si="48"/>
        <v>79.248</v>
      </c>
      <c r="R212" s="130">
        <f t="shared" si="49"/>
        <v>0</v>
      </c>
      <c r="V212" s="98"/>
    </row>
    <row r="213" spans="1:22" s="8" customFormat="1" ht="16.5" customHeight="1">
      <c r="A213" s="822" t="s">
        <v>531</v>
      </c>
      <c r="B213" s="773">
        <f>'Weight sheet'!C166</f>
        <v>4199366</v>
      </c>
      <c r="C213" s="773">
        <f>'Weight sheet'!D166</f>
        <v>52253</v>
      </c>
      <c r="D213" s="881">
        <f>'Weight sheet'!F166</f>
        <v>1</v>
      </c>
      <c r="E213" s="869">
        <f>'Weight sheet'!H166</f>
        <v>130.9</v>
      </c>
      <c r="F213" s="130">
        <f t="shared" si="52"/>
        <v>130.9</v>
      </c>
      <c r="G213" s="278">
        <v>48.5</v>
      </c>
      <c r="H213" s="130">
        <f t="shared" si="42"/>
        <v>123.19</v>
      </c>
      <c r="I213" s="98">
        <f t="shared" si="43"/>
        <v>16125.571</v>
      </c>
      <c r="J213" s="279">
        <v>0</v>
      </c>
      <c r="K213" s="98">
        <f t="shared" si="44"/>
        <v>0</v>
      </c>
      <c r="L213" s="280">
        <f t="shared" si="53"/>
        <v>48.5</v>
      </c>
      <c r="M213" s="130">
        <f t="shared" si="45"/>
        <v>123.19</v>
      </c>
      <c r="N213" s="98">
        <f t="shared" si="51"/>
        <v>0</v>
      </c>
      <c r="O213" s="281">
        <v>1.8</v>
      </c>
      <c r="P213" s="130">
        <f t="shared" si="47"/>
        <v>4.572</v>
      </c>
      <c r="Q213" s="98">
        <f t="shared" si="48"/>
        <v>598.4748000000001</v>
      </c>
      <c r="R213" s="130">
        <f t="shared" si="49"/>
        <v>0</v>
      </c>
      <c r="V213" s="98"/>
    </row>
    <row r="214" spans="1:22" s="8" customFormat="1" ht="16.5" customHeight="1">
      <c r="A214" s="822" t="s">
        <v>532</v>
      </c>
      <c r="B214" s="773">
        <f>'Weight sheet'!C167</f>
        <v>8254</v>
      </c>
      <c r="C214" s="773">
        <f>'Weight sheet'!D167</f>
        <v>55203</v>
      </c>
      <c r="D214" s="881">
        <f>'Weight sheet'!F167</f>
        <v>1</v>
      </c>
      <c r="E214" s="869">
        <f>'Weight sheet'!H167</f>
        <v>0.3</v>
      </c>
      <c r="F214" s="130">
        <f t="shared" si="52"/>
        <v>0.3</v>
      </c>
      <c r="G214" s="278">
        <v>47.3</v>
      </c>
      <c r="H214" s="130">
        <f t="shared" si="42"/>
        <v>120.142</v>
      </c>
      <c r="I214" s="98">
        <f t="shared" si="43"/>
        <v>36.0426</v>
      </c>
      <c r="J214" s="279">
        <v>0</v>
      </c>
      <c r="K214" s="98">
        <f t="shared" si="44"/>
        <v>0</v>
      </c>
      <c r="L214" s="280">
        <f t="shared" si="53"/>
        <v>47.3</v>
      </c>
      <c r="M214" s="130">
        <f t="shared" si="45"/>
        <v>120.142</v>
      </c>
      <c r="N214" s="98">
        <f t="shared" si="51"/>
        <v>0</v>
      </c>
      <c r="O214" s="281">
        <v>1.8</v>
      </c>
      <c r="P214" s="130">
        <f t="shared" si="47"/>
        <v>4.572</v>
      </c>
      <c r="Q214" s="98">
        <f t="shared" si="48"/>
        <v>1.3716</v>
      </c>
      <c r="R214" s="130">
        <f t="shared" si="49"/>
        <v>0</v>
      </c>
      <c r="V214" s="98"/>
    </row>
    <row r="215" spans="1:22" s="8" customFormat="1" ht="16.5" customHeight="1">
      <c r="A215" s="822" t="s">
        <v>533</v>
      </c>
      <c r="B215" s="773">
        <f>'Weight sheet'!C168</f>
        <v>4199044</v>
      </c>
      <c r="C215" s="773">
        <f>'Weight sheet'!D168</f>
        <v>52351</v>
      </c>
      <c r="D215" s="881">
        <f>'Weight sheet'!F168</f>
        <v>1</v>
      </c>
      <c r="E215" s="869">
        <f>'Weight sheet'!H168</f>
        <v>0.7</v>
      </c>
      <c r="F215" s="130">
        <f t="shared" si="52"/>
        <v>0.7</v>
      </c>
      <c r="G215" s="278">
        <v>46.77</v>
      </c>
      <c r="H215" s="130">
        <f t="shared" si="42"/>
        <v>118.79580000000001</v>
      </c>
      <c r="I215" s="98">
        <f t="shared" si="43"/>
        <v>83.15706</v>
      </c>
      <c r="J215" s="279">
        <v>0</v>
      </c>
      <c r="K215" s="98">
        <f t="shared" si="44"/>
        <v>0</v>
      </c>
      <c r="L215" s="280">
        <f t="shared" si="53"/>
        <v>46.77</v>
      </c>
      <c r="M215" s="130">
        <f t="shared" si="45"/>
        <v>118.79580000000001</v>
      </c>
      <c r="N215" s="98">
        <f t="shared" si="51"/>
        <v>0</v>
      </c>
      <c r="O215" s="281">
        <v>0</v>
      </c>
      <c r="P215" s="130">
        <f t="shared" si="47"/>
        <v>0</v>
      </c>
      <c r="Q215" s="98">
        <f t="shared" si="48"/>
        <v>0</v>
      </c>
      <c r="R215" s="130">
        <f t="shared" si="49"/>
        <v>0</v>
      </c>
      <c r="V215" s="98"/>
    </row>
    <row r="216" spans="1:22" s="8" customFormat="1" ht="16.5" customHeight="1">
      <c r="A216" s="822" t="s">
        <v>407</v>
      </c>
      <c r="B216" s="773">
        <f>'Weight sheet'!C169</f>
        <v>4199045</v>
      </c>
      <c r="C216" s="773">
        <f>'Weight sheet'!D169</f>
        <v>52352</v>
      </c>
      <c r="D216" s="881">
        <f>'Weight sheet'!F169</f>
        <v>1</v>
      </c>
      <c r="E216" s="869">
        <f>'Weight sheet'!H169</f>
        <v>5.7</v>
      </c>
      <c r="F216" s="130">
        <f t="shared" si="52"/>
        <v>5.7</v>
      </c>
      <c r="G216" s="278">
        <v>46.77</v>
      </c>
      <c r="H216" s="130">
        <f t="shared" si="42"/>
        <v>118.79580000000001</v>
      </c>
      <c r="I216" s="98">
        <f t="shared" si="43"/>
        <v>677.1360600000002</v>
      </c>
      <c r="J216" s="279">
        <v>0</v>
      </c>
      <c r="K216" s="98">
        <f t="shared" si="44"/>
        <v>0</v>
      </c>
      <c r="L216" s="280">
        <f t="shared" si="53"/>
        <v>46.77</v>
      </c>
      <c r="M216" s="130">
        <f t="shared" si="45"/>
        <v>118.79580000000001</v>
      </c>
      <c r="N216" s="98">
        <f t="shared" si="51"/>
        <v>0</v>
      </c>
      <c r="O216" s="281">
        <v>1.85</v>
      </c>
      <c r="P216" s="130">
        <f t="shared" si="47"/>
        <v>4.699000000000001</v>
      </c>
      <c r="Q216" s="98">
        <f t="shared" si="48"/>
        <v>26.784300000000005</v>
      </c>
      <c r="R216" s="130">
        <f t="shared" si="49"/>
        <v>0</v>
      </c>
      <c r="V216" s="98"/>
    </row>
    <row r="217" spans="1:22" s="8" customFormat="1" ht="16.5" customHeight="1">
      <c r="A217" s="822" t="s">
        <v>408</v>
      </c>
      <c r="B217" s="773">
        <f>'Weight sheet'!C170</f>
        <v>17437</v>
      </c>
      <c r="C217" s="773">
        <f>'Weight sheet'!D170</f>
        <v>55229</v>
      </c>
      <c r="D217" s="881">
        <f>'Weight sheet'!F170</f>
        <v>1</v>
      </c>
      <c r="E217" s="869">
        <f>'Weight sheet'!H170</f>
        <v>3</v>
      </c>
      <c r="F217" s="130">
        <f t="shared" si="52"/>
        <v>3</v>
      </c>
      <c r="G217" s="278">
        <v>47.28</v>
      </c>
      <c r="H217" s="130">
        <f t="shared" si="42"/>
        <v>120.0912</v>
      </c>
      <c r="I217" s="98">
        <f t="shared" si="43"/>
        <v>360.2736</v>
      </c>
      <c r="J217" s="279">
        <v>0</v>
      </c>
      <c r="K217" s="98">
        <f t="shared" si="44"/>
        <v>0</v>
      </c>
      <c r="L217" s="280">
        <f t="shared" si="53"/>
        <v>47.28</v>
      </c>
      <c r="M217" s="130">
        <f t="shared" si="45"/>
        <v>120.0912</v>
      </c>
      <c r="N217" s="98">
        <f t="shared" si="51"/>
        <v>0</v>
      </c>
      <c r="O217" s="281">
        <v>0</v>
      </c>
      <c r="P217" s="130">
        <f t="shared" si="47"/>
        <v>0</v>
      </c>
      <c r="Q217" s="98">
        <f t="shared" si="48"/>
        <v>0</v>
      </c>
      <c r="R217" s="130">
        <f t="shared" si="49"/>
        <v>0</v>
      </c>
      <c r="V217" s="98"/>
    </row>
    <row r="218" spans="1:22" s="8" customFormat="1" ht="16.5" customHeight="1">
      <c r="A218" s="822" t="s">
        <v>409</v>
      </c>
      <c r="B218" s="773">
        <f>'Weight sheet'!C171</f>
        <v>4199321</v>
      </c>
      <c r="C218" s="773">
        <f>'Weight sheet'!D171</f>
        <v>49806</v>
      </c>
      <c r="D218" s="881">
        <f>'Weight sheet'!F171</f>
        <v>1</v>
      </c>
      <c r="E218" s="869">
        <f>'Weight sheet'!H171</f>
        <v>91.5</v>
      </c>
      <c r="F218" s="130">
        <f t="shared" si="52"/>
        <v>91.5</v>
      </c>
      <c r="G218" s="278">
        <v>46.77</v>
      </c>
      <c r="H218" s="130">
        <f t="shared" si="42"/>
        <v>118.79580000000001</v>
      </c>
      <c r="I218" s="98">
        <f t="shared" si="43"/>
        <v>10869.815700000001</v>
      </c>
      <c r="J218" s="279">
        <v>0</v>
      </c>
      <c r="K218" s="98">
        <f t="shared" si="44"/>
        <v>0</v>
      </c>
      <c r="L218" s="280">
        <f t="shared" si="53"/>
        <v>46.77</v>
      </c>
      <c r="M218" s="130">
        <f t="shared" si="45"/>
        <v>118.79580000000001</v>
      </c>
      <c r="N218" s="98">
        <f t="shared" si="51"/>
        <v>0</v>
      </c>
      <c r="O218" s="281">
        <v>0</v>
      </c>
      <c r="P218" s="130">
        <f t="shared" si="47"/>
        <v>0</v>
      </c>
      <c r="Q218" s="98">
        <f t="shared" si="48"/>
        <v>0</v>
      </c>
      <c r="R218" s="130">
        <f t="shared" si="49"/>
        <v>0</v>
      </c>
      <c r="V218" s="98"/>
    </row>
    <row r="219" spans="1:22" s="8" customFormat="1" ht="16.5" customHeight="1">
      <c r="A219" s="822" t="s">
        <v>410</v>
      </c>
      <c r="B219" s="773">
        <f>'Weight sheet'!C172</f>
        <v>4199048</v>
      </c>
      <c r="C219" s="773">
        <f>'Weight sheet'!D172</f>
        <v>52357</v>
      </c>
      <c r="D219" s="881">
        <f>'Weight sheet'!F172</f>
        <v>1</v>
      </c>
      <c r="E219" s="869">
        <f>'Weight sheet'!H172</f>
        <v>3.4</v>
      </c>
      <c r="F219" s="130">
        <f t="shared" si="52"/>
        <v>3.4</v>
      </c>
      <c r="G219" s="278">
        <v>46.77</v>
      </c>
      <c r="H219" s="130">
        <f t="shared" si="42"/>
        <v>118.79580000000001</v>
      </c>
      <c r="I219" s="98">
        <f t="shared" si="43"/>
        <v>403.90572000000003</v>
      </c>
      <c r="J219" s="279">
        <v>0</v>
      </c>
      <c r="K219" s="98">
        <f t="shared" si="44"/>
        <v>0</v>
      </c>
      <c r="L219" s="280">
        <f t="shared" si="53"/>
        <v>46.77</v>
      </c>
      <c r="M219" s="130">
        <f t="shared" si="45"/>
        <v>118.79580000000001</v>
      </c>
      <c r="N219" s="98">
        <f t="shared" si="51"/>
        <v>0</v>
      </c>
      <c r="O219" s="281">
        <v>0.5</v>
      </c>
      <c r="P219" s="130">
        <f t="shared" si="47"/>
        <v>1.27</v>
      </c>
      <c r="Q219" s="98">
        <f t="shared" si="48"/>
        <v>4.318</v>
      </c>
      <c r="R219" s="130">
        <f t="shared" si="49"/>
        <v>0</v>
      </c>
      <c r="V219" s="98"/>
    </row>
    <row r="220" spans="1:22" s="8" customFormat="1" ht="16.5" customHeight="1">
      <c r="A220" s="822" t="s">
        <v>411</v>
      </c>
      <c r="B220" s="773">
        <f>'Weight sheet'!C173</f>
        <v>4199429</v>
      </c>
      <c r="C220" s="773">
        <f>'Weight sheet'!D173</f>
        <v>55476</v>
      </c>
      <c r="D220" s="881">
        <f>'Weight sheet'!F173</f>
        <v>1</v>
      </c>
      <c r="E220" s="869">
        <f>'Weight sheet'!H173</f>
        <v>18.5</v>
      </c>
      <c r="F220" s="130">
        <f t="shared" si="52"/>
        <v>18.5</v>
      </c>
      <c r="G220" s="278">
        <v>46.5</v>
      </c>
      <c r="H220" s="130">
        <f t="shared" si="42"/>
        <v>118.11</v>
      </c>
      <c r="I220" s="98">
        <f t="shared" si="43"/>
        <v>2185.035</v>
      </c>
      <c r="J220" s="279">
        <v>0</v>
      </c>
      <c r="K220" s="98">
        <f t="shared" si="44"/>
        <v>0</v>
      </c>
      <c r="L220" s="280">
        <f t="shared" si="53"/>
        <v>46.5</v>
      </c>
      <c r="M220" s="130">
        <f t="shared" si="45"/>
        <v>118.11</v>
      </c>
      <c r="N220" s="98">
        <f t="shared" si="51"/>
        <v>0</v>
      </c>
      <c r="O220" s="281">
        <v>0.75</v>
      </c>
      <c r="P220" s="130">
        <f t="shared" si="47"/>
        <v>1.905</v>
      </c>
      <c r="Q220" s="98">
        <f t="shared" si="48"/>
        <v>35.2425</v>
      </c>
      <c r="R220" s="130">
        <f t="shared" si="49"/>
        <v>0</v>
      </c>
      <c r="V220" s="98"/>
    </row>
    <row r="221" spans="1:22" s="8" customFormat="1" ht="16.5" customHeight="1">
      <c r="A221" s="822" t="s">
        <v>535</v>
      </c>
      <c r="B221" s="773" t="str">
        <f>'Weight sheet'!C174</f>
        <v>4199155 / 19928</v>
      </c>
      <c r="C221" s="773">
        <f>'Weight sheet'!D174</f>
        <v>55296</v>
      </c>
      <c r="D221" s="881">
        <f>'Weight sheet'!F174</f>
        <v>1</v>
      </c>
      <c r="E221" s="869">
        <f>'Weight sheet'!H174</f>
        <v>2</v>
      </c>
      <c r="F221" s="130">
        <f t="shared" si="52"/>
        <v>2</v>
      </c>
      <c r="G221" s="278">
        <v>46.625</v>
      </c>
      <c r="H221" s="130">
        <f t="shared" si="42"/>
        <v>118.4275</v>
      </c>
      <c r="I221" s="98">
        <f t="shared" si="43"/>
        <v>236.855</v>
      </c>
      <c r="J221" s="279">
        <v>0</v>
      </c>
      <c r="K221" s="98">
        <f t="shared" si="44"/>
        <v>0</v>
      </c>
      <c r="L221" s="280">
        <f t="shared" si="53"/>
        <v>46.625</v>
      </c>
      <c r="M221" s="130">
        <f t="shared" si="45"/>
        <v>118.4275</v>
      </c>
      <c r="N221" s="98">
        <f t="shared" si="51"/>
        <v>0</v>
      </c>
      <c r="O221" s="281">
        <v>0</v>
      </c>
      <c r="P221" s="130">
        <f t="shared" si="47"/>
        <v>0</v>
      </c>
      <c r="Q221" s="98">
        <f t="shared" si="48"/>
        <v>0</v>
      </c>
      <c r="R221" s="130">
        <f t="shared" si="49"/>
        <v>0</v>
      </c>
      <c r="V221" s="98"/>
    </row>
    <row r="222" spans="1:22" s="8" customFormat="1" ht="16.5" customHeight="1">
      <c r="A222" s="116"/>
      <c r="B222" s="116"/>
      <c r="C222" s="517"/>
      <c r="D222" s="552"/>
      <c r="E222" s="533"/>
      <c r="F222" s="130"/>
      <c r="G222" s="278"/>
      <c r="H222" s="130"/>
      <c r="I222" s="98"/>
      <c r="J222" s="279"/>
      <c r="K222" s="98"/>
      <c r="L222" s="280"/>
      <c r="M222" s="130"/>
      <c r="N222" s="98"/>
      <c r="O222" s="281"/>
      <c r="P222" s="130"/>
      <c r="Q222" s="98"/>
      <c r="R222" s="130"/>
      <c r="V222" s="98"/>
    </row>
    <row r="223" spans="1:22" s="8" customFormat="1" ht="16.5" customHeight="1">
      <c r="A223" s="315" t="s">
        <v>536</v>
      </c>
      <c r="B223" s="772">
        <f>'Weight sheet'!C175</f>
        <v>4199411</v>
      </c>
      <c r="C223" s="772">
        <f>'Weight sheet'!D175</f>
        <v>52378</v>
      </c>
      <c r="D223" s="771"/>
      <c r="E223" s="533"/>
      <c r="F223" s="130"/>
      <c r="G223" s="278"/>
      <c r="H223" s="130"/>
      <c r="I223" s="98"/>
      <c r="J223" s="279"/>
      <c r="K223" s="98"/>
      <c r="L223" s="280"/>
      <c r="M223" s="130"/>
      <c r="N223" s="98"/>
      <c r="O223" s="281"/>
      <c r="P223" s="130"/>
      <c r="Q223" s="98"/>
      <c r="R223" s="130"/>
      <c r="V223" s="98"/>
    </row>
    <row r="224" spans="2:22" s="8" customFormat="1" ht="16.5" customHeight="1">
      <c r="B224" s="788" t="s">
        <v>865</v>
      </c>
      <c r="C224" s="790">
        <f>SUM(F226:F235)</f>
        <v>383.69999999999993</v>
      </c>
      <c r="D224" s="801" t="s">
        <v>986</v>
      </c>
      <c r="E224" s="557" t="s">
        <v>955</v>
      </c>
      <c r="F224" s="130"/>
      <c r="G224" s="278"/>
      <c r="H224" s="130"/>
      <c r="I224" s="98"/>
      <c r="J224" s="279"/>
      <c r="K224" s="98"/>
      <c r="L224" s="280"/>
      <c r="M224" s="130"/>
      <c r="N224" s="98"/>
      <c r="O224" s="281"/>
      <c r="P224" s="130"/>
      <c r="Q224" s="98"/>
      <c r="R224" s="130"/>
      <c r="V224" s="98"/>
    </row>
    <row r="225" spans="2:22" s="8" customFormat="1" ht="15.75" customHeight="1">
      <c r="B225" s="809" t="s">
        <v>708</v>
      </c>
      <c r="C225" s="873">
        <f>'Weight sheet'!H177</f>
        <v>383.7</v>
      </c>
      <c r="D225" s="801" t="s">
        <v>986</v>
      </c>
      <c r="E225" s="531">
        <f>C225-C224</f>
        <v>0</v>
      </c>
      <c r="F225" s="130"/>
      <c r="G225" s="278"/>
      <c r="H225" s="130"/>
      <c r="I225" s="98"/>
      <c r="J225" s="279"/>
      <c r="K225" s="98"/>
      <c r="L225" s="280"/>
      <c r="M225" s="130"/>
      <c r="N225" s="98"/>
      <c r="O225" s="281"/>
      <c r="P225" s="130"/>
      <c r="Q225" s="98"/>
      <c r="R225" s="130"/>
      <c r="V225" s="98"/>
    </row>
    <row r="226" spans="1:22" s="8" customFormat="1" ht="17.25" customHeight="1">
      <c r="A226" s="822" t="s">
        <v>537</v>
      </c>
      <c r="B226" s="766">
        <f>'Weight sheet'!C178</f>
        <v>4199322</v>
      </c>
      <c r="C226" s="766">
        <f>'Weight sheet'!D178</f>
        <v>49808</v>
      </c>
      <c r="D226" s="881">
        <f>'Weight sheet'!F178</f>
        <v>1</v>
      </c>
      <c r="E226" s="869">
        <f>'Weight sheet'!H178</f>
        <v>21.8</v>
      </c>
      <c r="F226" s="130">
        <f aca="true" t="shared" si="54" ref="F226:F232">E226*D226</f>
        <v>21.8</v>
      </c>
      <c r="G226" s="278">
        <v>48.91</v>
      </c>
      <c r="H226" s="130">
        <f aca="true" t="shared" si="55" ref="H226:H235">G226*2.54</f>
        <v>124.2314</v>
      </c>
      <c r="I226" s="98">
        <f aca="true" t="shared" si="56" ref="I226:I235">F226*H226</f>
        <v>2708.2445199999997</v>
      </c>
      <c r="J226" s="279">
        <v>0</v>
      </c>
      <c r="K226" s="98">
        <f aca="true" t="shared" si="57" ref="K226:K235">J226*D226</f>
        <v>0</v>
      </c>
      <c r="L226" s="280">
        <f aca="true" t="shared" si="58" ref="L226:L235">G226</f>
        <v>48.91</v>
      </c>
      <c r="M226" s="130">
        <f aca="true" t="shared" si="59" ref="M226:M235">L226*2.54</f>
        <v>124.2314</v>
      </c>
      <c r="N226" s="98">
        <f aca="true" t="shared" si="60" ref="N226:N234">K226*M226</f>
        <v>0</v>
      </c>
      <c r="O226" s="281">
        <v>0</v>
      </c>
      <c r="P226" s="130">
        <f aca="true" t="shared" si="61" ref="P226:P235">O226*2.54</f>
        <v>0</v>
      </c>
      <c r="Q226" s="98">
        <f aca="true" t="shared" si="62" ref="Q226:Q235">F226*P226</f>
        <v>0</v>
      </c>
      <c r="R226" s="130">
        <f aca="true" t="shared" si="63" ref="R226:R235">K226*P226</f>
        <v>0</v>
      </c>
      <c r="V226" s="98"/>
    </row>
    <row r="227" spans="1:22" s="8" customFormat="1" ht="16.5" customHeight="1">
      <c r="A227" s="822" t="s">
        <v>538</v>
      </c>
      <c r="B227" s="766">
        <f>'Weight sheet'!C179</f>
        <v>4199384</v>
      </c>
      <c r="C227" s="766">
        <f>'Weight sheet'!D179</f>
        <v>52288</v>
      </c>
      <c r="D227" s="881">
        <f>'Weight sheet'!F179</f>
        <v>1</v>
      </c>
      <c r="E227" s="869">
        <f>'Weight sheet'!H179</f>
        <v>59.7</v>
      </c>
      <c r="F227" s="130">
        <f t="shared" si="54"/>
        <v>59.7</v>
      </c>
      <c r="G227" s="278">
        <v>48.9</v>
      </c>
      <c r="H227" s="130">
        <f t="shared" si="55"/>
        <v>124.206</v>
      </c>
      <c r="I227" s="98">
        <f t="shared" si="56"/>
        <v>7415.0982</v>
      </c>
      <c r="J227" s="279">
        <v>0</v>
      </c>
      <c r="K227" s="98">
        <f t="shared" si="57"/>
        <v>0</v>
      </c>
      <c r="L227" s="280">
        <f t="shared" si="58"/>
        <v>48.9</v>
      </c>
      <c r="M227" s="130">
        <f t="shared" si="59"/>
        <v>124.206</v>
      </c>
      <c r="N227" s="98">
        <f t="shared" si="60"/>
        <v>0</v>
      </c>
      <c r="O227" s="281">
        <v>1</v>
      </c>
      <c r="P227" s="130">
        <f t="shared" si="61"/>
        <v>2.54</v>
      </c>
      <c r="Q227" s="98">
        <f t="shared" si="62"/>
        <v>151.638</v>
      </c>
      <c r="R227" s="130">
        <f t="shared" si="63"/>
        <v>0</v>
      </c>
      <c r="V227" s="98"/>
    </row>
    <row r="228" spans="1:22" s="8" customFormat="1" ht="16.5" customHeight="1">
      <c r="A228" s="822" t="s">
        <v>539</v>
      </c>
      <c r="B228" s="766">
        <f>'Weight sheet'!C180</f>
        <v>8254</v>
      </c>
      <c r="C228" s="766">
        <f>'Weight sheet'!D180</f>
        <v>55203</v>
      </c>
      <c r="D228" s="881">
        <f>'Weight sheet'!F180</f>
        <v>1</v>
      </c>
      <c r="E228" s="869">
        <f>'Weight sheet'!H180</f>
        <v>0.2</v>
      </c>
      <c r="F228" s="130">
        <f t="shared" si="54"/>
        <v>0.2</v>
      </c>
      <c r="G228" s="278">
        <v>48.9</v>
      </c>
      <c r="H228" s="130">
        <f t="shared" si="55"/>
        <v>124.206</v>
      </c>
      <c r="I228" s="98">
        <f t="shared" si="56"/>
        <v>24.8412</v>
      </c>
      <c r="J228" s="279">
        <v>0</v>
      </c>
      <c r="K228" s="98">
        <f t="shared" si="57"/>
        <v>0</v>
      </c>
      <c r="L228" s="280">
        <f t="shared" si="58"/>
        <v>48.9</v>
      </c>
      <c r="M228" s="130">
        <f t="shared" si="59"/>
        <v>124.206</v>
      </c>
      <c r="N228" s="98">
        <f t="shared" si="60"/>
        <v>0</v>
      </c>
      <c r="O228" s="281">
        <v>0</v>
      </c>
      <c r="P228" s="130">
        <f t="shared" si="61"/>
        <v>0</v>
      </c>
      <c r="Q228" s="98">
        <f t="shared" si="62"/>
        <v>0</v>
      </c>
      <c r="R228" s="130">
        <f t="shared" si="63"/>
        <v>0</v>
      </c>
      <c r="V228" s="98"/>
    </row>
    <row r="229" spans="1:22" s="8" customFormat="1" ht="16.5" customHeight="1">
      <c r="A229" s="822" t="s">
        <v>540</v>
      </c>
      <c r="B229" s="766">
        <f>'Weight sheet'!C181</f>
        <v>4199092</v>
      </c>
      <c r="C229" s="766">
        <f>'Weight sheet'!D181</f>
        <v>52457</v>
      </c>
      <c r="D229" s="881">
        <f>'Weight sheet'!F181</f>
        <v>1</v>
      </c>
      <c r="E229" s="869">
        <f>'Weight sheet'!H181</f>
        <v>10.3</v>
      </c>
      <c r="F229" s="130">
        <f t="shared" si="54"/>
        <v>10.3</v>
      </c>
      <c r="G229" s="278">
        <v>48.9</v>
      </c>
      <c r="H229" s="130">
        <f t="shared" si="55"/>
        <v>124.206</v>
      </c>
      <c r="I229" s="98">
        <f t="shared" si="56"/>
        <v>1279.3218000000002</v>
      </c>
      <c r="J229" s="279">
        <v>0</v>
      </c>
      <c r="K229" s="98">
        <f t="shared" si="57"/>
        <v>0</v>
      </c>
      <c r="L229" s="280">
        <f t="shared" si="58"/>
        <v>48.9</v>
      </c>
      <c r="M229" s="130">
        <f t="shared" si="59"/>
        <v>124.206</v>
      </c>
      <c r="N229" s="98">
        <f t="shared" si="60"/>
        <v>0</v>
      </c>
      <c r="O229" s="281">
        <v>-0.4</v>
      </c>
      <c r="P229" s="130">
        <f t="shared" si="61"/>
        <v>-1.016</v>
      </c>
      <c r="Q229" s="98">
        <f t="shared" si="62"/>
        <v>-10.4648</v>
      </c>
      <c r="R229" s="130">
        <f t="shared" si="63"/>
        <v>0</v>
      </c>
      <c r="V229" s="98"/>
    </row>
    <row r="230" spans="1:22" s="8" customFormat="1" ht="16.5" customHeight="1">
      <c r="A230" s="822" t="s">
        <v>541</v>
      </c>
      <c r="B230" s="766">
        <f>'Weight sheet'!C182</f>
        <v>4146090</v>
      </c>
      <c r="C230" s="766">
        <f>'Weight sheet'!D182</f>
        <v>55209</v>
      </c>
      <c r="D230" s="881">
        <f>'Weight sheet'!F182</f>
        <v>1</v>
      </c>
      <c r="E230" s="869">
        <f>'Weight sheet'!H182</f>
        <v>3</v>
      </c>
      <c r="F230" s="130">
        <f t="shared" si="54"/>
        <v>3</v>
      </c>
      <c r="G230" s="278">
        <v>48.9</v>
      </c>
      <c r="H230" s="130">
        <f t="shared" si="55"/>
        <v>124.206</v>
      </c>
      <c r="I230" s="98">
        <f t="shared" si="56"/>
        <v>372.618</v>
      </c>
      <c r="J230" s="279">
        <v>0</v>
      </c>
      <c r="K230" s="98">
        <f t="shared" si="57"/>
        <v>0</v>
      </c>
      <c r="L230" s="280">
        <f t="shared" si="58"/>
        <v>48.9</v>
      </c>
      <c r="M230" s="130">
        <f t="shared" si="59"/>
        <v>124.206</v>
      </c>
      <c r="N230" s="98">
        <f t="shared" si="60"/>
        <v>0</v>
      </c>
      <c r="O230" s="281">
        <v>0</v>
      </c>
      <c r="P230" s="130">
        <f t="shared" si="61"/>
        <v>0</v>
      </c>
      <c r="Q230" s="98">
        <f t="shared" si="62"/>
        <v>0</v>
      </c>
      <c r="R230" s="130">
        <f t="shared" si="63"/>
        <v>0</v>
      </c>
      <c r="V230" s="98"/>
    </row>
    <row r="231" spans="1:22" s="8" customFormat="1" ht="17.25" customHeight="1">
      <c r="A231" s="822" t="s">
        <v>542</v>
      </c>
      <c r="B231" s="766">
        <f>'Weight sheet'!C183</f>
        <v>4199090</v>
      </c>
      <c r="C231" s="766">
        <f>'Weight sheet'!D183</f>
        <v>52455</v>
      </c>
      <c r="D231" s="881">
        <f>'Weight sheet'!F183</f>
        <v>1</v>
      </c>
      <c r="E231" s="869">
        <f>'Weight sheet'!H183</f>
        <v>17.6</v>
      </c>
      <c r="F231" s="130">
        <f t="shared" si="54"/>
        <v>17.6</v>
      </c>
      <c r="G231" s="278">
        <v>48.9</v>
      </c>
      <c r="H231" s="130">
        <f t="shared" si="55"/>
        <v>124.206</v>
      </c>
      <c r="I231" s="98">
        <f t="shared" si="56"/>
        <v>2186.0256000000004</v>
      </c>
      <c r="J231" s="279">
        <v>0</v>
      </c>
      <c r="K231" s="98">
        <f t="shared" si="57"/>
        <v>0</v>
      </c>
      <c r="L231" s="280">
        <f t="shared" si="58"/>
        <v>48.9</v>
      </c>
      <c r="M231" s="130">
        <f t="shared" si="59"/>
        <v>124.206</v>
      </c>
      <c r="N231" s="98">
        <f t="shared" si="60"/>
        <v>0</v>
      </c>
      <c r="O231" s="281">
        <v>-0.4</v>
      </c>
      <c r="P231" s="130">
        <f t="shared" si="61"/>
        <v>-1.016</v>
      </c>
      <c r="Q231" s="98">
        <f t="shared" si="62"/>
        <v>-17.881600000000002</v>
      </c>
      <c r="R231" s="130">
        <f t="shared" si="63"/>
        <v>0</v>
      </c>
      <c r="V231" s="98"/>
    </row>
    <row r="232" spans="1:22" s="8" customFormat="1" ht="25.5" customHeight="1">
      <c r="A232" s="822" t="s">
        <v>543</v>
      </c>
      <c r="B232" s="766" t="str">
        <f>'Weight sheet'!C184</f>
        <v>4199051 / 4199091 / 17437</v>
      </c>
      <c r="C232" s="766" t="str">
        <f>'Weight sheet'!D184</f>
        <v>52360 / 52456 / 55229</v>
      </c>
      <c r="D232" s="881">
        <f>'Weight sheet'!F184</f>
        <v>1</v>
      </c>
      <c r="E232" s="869">
        <f>'Weight sheet'!H184</f>
        <v>224.3</v>
      </c>
      <c r="F232" s="130">
        <f t="shared" si="54"/>
        <v>224.3</v>
      </c>
      <c r="G232" s="278">
        <v>48.9</v>
      </c>
      <c r="H232" s="130">
        <f t="shared" si="55"/>
        <v>124.206</v>
      </c>
      <c r="I232" s="98">
        <f t="shared" si="56"/>
        <v>27859.4058</v>
      </c>
      <c r="J232" s="279">
        <v>0</v>
      </c>
      <c r="K232" s="98">
        <f t="shared" si="57"/>
        <v>0</v>
      </c>
      <c r="L232" s="280">
        <f t="shared" si="58"/>
        <v>48.9</v>
      </c>
      <c r="M232" s="130">
        <f t="shared" si="59"/>
        <v>124.206</v>
      </c>
      <c r="N232" s="98">
        <f t="shared" si="60"/>
        <v>0</v>
      </c>
      <c r="O232" s="281">
        <v>-0.8</v>
      </c>
      <c r="P232" s="130">
        <f t="shared" si="61"/>
        <v>-2.032</v>
      </c>
      <c r="Q232" s="98">
        <f t="shared" si="62"/>
        <v>-455.7776</v>
      </c>
      <c r="R232" s="130">
        <f t="shared" si="63"/>
        <v>0</v>
      </c>
      <c r="V232" s="98"/>
    </row>
    <row r="233" spans="1:22" s="8" customFormat="1" ht="16.5" customHeight="1">
      <c r="A233" s="822" t="s">
        <v>545</v>
      </c>
      <c r="B233" s="766" t="str">
        <f>'Weight sheet'!C186</f>
        <v>4199155 / 19928</v>
      </c>
      <c r="C233" s="766" t="str">
        <f>'Weight sheet'!D186</f>
        <v>55296 / 55233</v>
      </c>
      <c r="D233" s="881">
        <f>'Weight sheet'!F186</f>
        <v>1</v>
      </c>
      <c r="E233" s="869">
        <f>'Weight sheet'!H186</f>
        <v>2</v>
      </c>
      <c r="F233" s="130">
        <f>E233*D233</f>
        <v>2</v>
      </c>
      <c r="G233" s="278">
        <v>48.9</v>
      </c>
      <c r="H233" s="130">
        <f t="shared" si="55"/>
        <v>124.206</v>
      </c>
      <c r="I233" s="98">
        <f t="shared" si="56"/>
        <v>248.412</v>
      </c>
      <c r="J233" s="279">
        <v>0</v>
      </c>
      <c r="K233" s="98">
        <f t="shared" si="57"/>
        <v>0</v>
      </c>
      <c r="L233" s="280">
        <f t="shared" si="58"/>
        <v>48.9</v>
      </c>
      <c r="M233" s="130">
        <f t="shared" si="59"/>
        <v>124.206</v>
      </c>
      <c r="N233" s="98">
        <f t="shared" si="60"/>
        <v>0</v>
      </c>
      <c r="O233" s="281">
        <v>-0.5</v>
      </c>
      <c r="P233" s="130">
        <f t="shared" si="61"/>
        <v>-1.27</v>
      </c>
      <c r="Q233" s="98">
        <f t="shared" si="62"/>
        <v>-2.54</v>
      </c>
      <c r="R233" s="130">
        <f t="shared" si="63"/>
        <v>0</v>
      </c>
      <c r="V233" s="98"/>
    </row>
    <row r="234" spans="1:22" s="8" customFormat="1" ht="16.5" customHeight="1">
      <c r="A234" s="822" t="s">
        <v>547</v>
      </c>
      <c r="B234" s="766">
        <f>'Weight sheet'!C187</f>
        <v>4199073</v>
      </c>
      <c r="C234" s="766">
        <f>'Weight sheet'!D187</f>
        <v>52431</v>
      </c>
      <c r="D234" s="881">
        <f>'Weight sheet'!F187</f>
        <v>1</v>
      </c>
      <c r="E234" s="869">
        <f>'Weight sheet'!H187</f>
        <v>24.9</v>
      </c>
      <c r="F234" s="130">
        <f>E234*D234</f>
        <v>24.9</v>
      </c>
      <c r="G234" s="278">
        <v>48.9</v>
      </c>
      <c r="H234" s="130">
        <f t="shared" si="55"/>
        <v>124.206</v>
      </c>
      <c r="I234" s="98">
        <f t="shared" si="56"/>
        <v>3092.7293999999997</v>
      </c>
      <c r="J234" s="279">
        <v>0</v>
      </c>
      <c r="K234" s="98">
        <f t="shared" si="57"/>
        <v>0</v>
      </c>
      <c r="L234" s="280">
        <f t="shared" si="58"/>
        <v>48.9</v>
      </c>
      <c r="M234" s="130">
        <f t="shared" si="59"/>
        <v>124.206</v>
      </c>
      <c r="N234" s="98">
        <f t="shared" si="60"/>
        <v>0</v>
      </c>
      <c r="O234" s="281">
        <v>-0.9</v>
      </c>
      <c r="P234" s="130">
        <f t="shared" si="61"/>
        <v>-2.286</v>
      </c>
      <c r="Q234" s="98">
        <f t="shared" si="62"/>
        <v>-56.9214</v>
      </c>
      <c r="R234" s="130">
        <f t="shared" si="63"/>
        <v>0</v>
      </c>
      <c r="V234" s="98"/>
    </row>
    <row r="235" spans="1:22" s="8" customFormat="1" ht="16.5" customHeight="1">
      <c r="A235" s="822" t="s">
        <v>656</v>
      </c>
      <c r="B235" s="766">
        <f>'Weight sheet'!C188</f>
        <v>4199068</v>
      </c>
      <c r="C235" s="766">
        <f>'Weight sheet'!D188</f>
        <v>52425</v>
      </c>
      <c r="D235" s="881">
        <f>'Weight sheet'!F188</f>
        <v>1</v>
      </c>
      <c r="E235" s="869">
        <f>'Weight sheet'!H188</f>
        <v>19.9</v>
      </c>
      <c r="F235" s="130">
        <f>E235*D235</f>
        <v>19.9</v>
      </c>
      <c r="G235" s="278">
        <v>47</v>
      </c>
      <c r="H235" s="130">
        <f t="shared" si="55"/>
        <v>119.38</v>
      </c>
      <c r="I235" s="316">
        <f t="shared" si="56"/>
        <v>2375.662</v>
      </c>
      <c r="J235" s="253">
        <v>0</v>
      </c>
      <c r="K235" s="98">
        <f t="shared" si="57"/>
        <v>0</v>
      </c>
      <c r="L235" s="280">
        <f t="shared" si="58"/>
        <v>47</v>
      </c>
      <c r="M235" s="130">
        <f t="shared" si="59"/>
        <v>119.38</v>
      </c>
      <c r="N235" s="98"/>
      <c r="O235" s="281">
        <v>0</v>
      </c>
      <c r="P235" s="130">
        <f t="shared" si="61"/>
        <v>0</v>
      </c>
      <c r="Q235" s="98">
        <f t="shared" si="62"/>
        <v>0</v>
      </c>
      <c r="R235" s="130">
        <f t="shared" si="63"/>
        <v>0</v>
      </c>
      <c r="V235" s="98"/>
    </row>
    <row r="236" spans="1:22" s="8" customFormat="1" ht="16.5" customHeight="1">
      <c r="A236" s="321"/>
      <c r="B236" s="321"/>
      <c r="C236" s="517"/>
      <c r="D236" s="552"/>
      <c r="E236" s="516"/>
      <c r="F236" s="130"/>
      <c r="G236" s="278"/>
      <c r="H236" s="130"/>
      <c r="I236" s="98"/>
      <c r="J236" s="279"/>
      <c r="K236" s="98"/>
      <c r="L236" s="280"/>
      <c r="M236" s="130"/>
      <c r="N236" s="98"/>
      <c r="O236" s="281"/>
      <c r="P236" s="130"/>
      <c r="Q236" s="98"/>
      <c r="R236" s="130"/>
      <c r="V236" s="98"/>
    </row>
    <row r="237" spans="1:22" s="8" customFormat="1" ht="16.5" customHeight="1">
      <c r="A237" s="315" t="s">
        <v>657</v>
      </c>
      <c r="B237" s="772">
        <f>'Weight sheet'!C190</f>
        <v>4199397</v>
      </c>
      <c r="C237" s="772">
        <f>'Weight sheet'!D190</f>
        <v>52346</v>
      </c>
      <c r="D237" s="771"/>
      <c r="E237" s="533"/>
      <c r="F237" s="130"/>
      <c r="G237" s="278"/>
      <c r="H237" s="130"/>
      <c r="I237" s="98"/>
      <c r="J237" s="279"/>
      <c r="K237" s="98"/>
      <c r="L237" s="280"/>
      <c r="M237" s="130"/>
      <c r="N237" s="98"/>
      <c r="O237" s="281"/>
      <c r="P237" s="130"/>
      <c r="Q237" s="98"/>
      <c r="R237" s="130"/>
      <c r="V237" s="98"/>
    </row>
    <row r="238" spans="2:22" s="8" customFormat="1" ht="16.5" customHeight="1">
      <c r="B238" s="788" t="s">
        <v>865</v>
      </c>
      <c r="C238" s="790">
        <f>(SUM(F241:F258))-F242+E242</f>
        <v>1148.3999999999999</v>
      </c>
      <c r="D238" s="801" t="s">
        <v>986</v>
      </c>
      <c r="E238" s="557" t="s">
        <v>955</v>
      </c>
      <c r="F238" s="130"/>
      <c r="G238" s="278"/>
      <c r="H238" s="130"/>
      <c r="I238" s="98"/>
      <c r="J238" s="279"/>
      <c r="K238" s="98"/>
      <c r="L238" s="280"/>
      <c r="M238" s="130"/>
      <c r="N238" s="98"/>
      <c r="O238" s="281"/>
      <c r="P238" s="130"/>
      <c r="Q238" s="98"/>
      <c r="R238" s="130"/>
      <c r="V238" s="98"/>
    </row>
    <row r="239" spans="1:22" s="8" customFormat="1" ht="16.5" customHeight="1">
      <c r="A239" s="890" t="s">
        <v>155</v>
      </c>
      <c r="B239" s="788" t="s">
        <v>708</v>
      </c>
      <c r="C239" s="870">
        <f>'Weight sheet'!H192</f>
        <v>1148.4</v>
      </c>
      <c r="D239" s="801" t="s">
        <v>986</v>
      </c>
      <c r="E239" s="531">
        <f>C239-C238</f>
        <v>0</v>
      </c>
      <c r="G239" s="278"/>
      <c r="H239" s="130"/>
      <c r="I239" s="98"/>
      <c r="J239" s="279"/>
      <c r="K239" s="98"/>
      <c r="L239" s="280"/>
      <c r="M239" s="130"/>
      <c r="N239" s="98"/>
      <c r="O239" s="281"/>
      <c r="P239" s="130"/>
      <c r="Q239" s="98"/>
      <c r="R239" s="130"/>
      <c r="V239" s="98"/>
    </row>
    <row r="241" spans="1:22" s="8" customFormat="1" ht="16.5" customHeight="1">
      <c r="A241" s="822" t="s">
        <v>658</v>
      </c>
      <c r="B241" s="766">
        <f>'Weight sheet'!C193</f>
        <v>4199323</v>
      </c>
      <c r="C241" s="766">
        <f>'Weight sheet'!D193</f>
        <v>49811</v>
      </c>
      <c r="D241" s="881">
        <f>'Weight sheet'!F193</f>
        <v>1</v>
      </c>
      <c r="E241" s="869">
        <f>'Weight sheet'!H193</f>
        <v>137.4</v>
      </c>
      <c r="F241" s="130">
        <f>E241*D241</f>
        <v>137.4</v>
      </c>
      <c r="G241" s="278">
        <v>45</v>
      </c>
      <c r="H241" s="130">
        <f aca="true" t="shared" si="64" ref="H241:H258">G241*2.54</f>
        <v>114.3</v>
      </c>
      <c r="I241" s="98">
        <f aca="true" t="shared" si="65" ref="I241:I258">F241*H241</f>
        <v>15704.82</v>
      </c>
      <c r="J241" s="279">
        <v>0</v>
      </c>
      <c r="K241" s="98">
        <f aca="true" t="shared" si="66" ref="K241:K258">J241*D241</f>
        <v>0</v>
      </c>
      <c r="L241" s="280">
        <f aca="true" t="shared" si="67" ref="L241:L258">G241</f>
        <v>45</v>
      </c>
      <c r="M241" s="130">
        <f aca="true" t="shared" si="68" ref="M241:M258">L241*2.54</f>
        <v>114.3</v>
      </c>
      <c r="N241" s="98">
        <f aca="true" t="shared" si="69" ref="N241:N258">K241*M241</f>
        <v>0</v>
      </c>
      <c r="O241" s="281">
        <v>0</v>
      </c>
      <c r="P241" s="130">
        <f aca="true" t="shared" si="70" ref="P241:P258">O241*2.54</f>
        <v>0</v>
      </c>
      <c r="Q241" s="98">
        <f aca="true" t="shared" si="71" ref="Q241:Q258">F241*P241</f>
        <v>0</v>
      </c>
      <c r="R241" s="130">
        <f aca="true" t="shared" si="72" ref="R241:R258">K241*P241</f>
        <v>0</v>
      </c>
      <c r="V241" s="98"/>
    </row>
    <row r="242" spans="1:22" s="8" customFormat="1" ht="16.5" customHeight="1">
      <c r="A242" s="822" t="s">
        <v>659</v>
      </c>
      <c r="B242" s="766">
        <f>'Weight sheet'!C194</f>
        <v>4206402</v>
      </c>
      <c r="C242" s="766">
        <f>'Weight sheet'!D194</f>
        <v>56874</v>
      </c>
      <c r="D242" s="881">
        <f>'Weight sheet'!F194</f>
        <v>1</v>
      </c>
      <c r="E242" s="869">
        <f>'Weight sheet'!H194</f>
        <v>94.3</v>
      </c>
      <c r="F242" s="317">
        <f>E242*D242+(C20*Cal!D44*Oil_density)</f>
        <v>670.0976787193825</v>
      </c>
      <c r="G242" s="278">
        <f>45+0.5*1.8*C20</f>
        <v>45.71993543793499</v>
      </c>
      <c r="H242" s="130">
        <f t="shared" si="64"/>
        <v>116.12863601235489</v>
      </c>
      <c r="I242" s="98">
        <f t="shared" si="65"/>
        <v>77817.52942472711</v>
      </c>
      <c r="J242" s="279">
        <v>0</v>
      </c>
      <c r="K242" s="98">
        <f t="shared" si="66"/>
        <v>0</v>
      </c>
      <c r="L242" s="280">
        <f t="shared" si="67"/>
        <v>45.71993543793499</v>
      </c>
      <c r="M242" s="130">
        <f t="shared" si="68"/>
        <v>116.12863601235489</v>
      </c>
      <c r="N242" s="98">
        <f t="shared" si="69"/>
        <v>0</v>
      </c>
      <c r="O242" s="281">
        <v>0</v>
      </c>
      <c r="P242" s="130">
        <f t="shared" si="70"/>
        <v>0</v>
      </c>
      <c r="Q242" s="98">
        <f t="shared" si="71"/>
        <v>0</v>
      </c>
      <c r="R242" s="130">
        <f t="shared" si="72"/>
        <v>0</v>
      </c>
      <c r="V242" s="98"/>
    </row>
    <row r="243" spans="1:22" s="8" customFormat="1" ht="16.5" customHeight="1">
      <c r="A243" s="822" t="s">
        <v>660</v>
      </c>
      <c r="B243" s="766">
        <f>'Weight sheet'!C195</f>
        <v>4199233</v>
      </c>
      <c r="C243" s="766">
        <f>'Weight sheet'!D195</f>
        <v>55459</v>
      </c>
      <c r="D243" s="881">
        <f>'Weight sheet'!F195</f>
        <v>1</v>
      </c>
      <c r="E243" s="869">
        <f>'Weight sheet'!H195</f>
        <v>12.3</v>
      </c>
      <c r="F243" s="130">
        <f aca="true" t="shared" si="73" ref="F243:F258">E243*D243</f>
        <v>12.3</v>
      </c>
      <c r="G243" s="278">
        <v>45</v>
      </c>
      <c r="H243" s="130">
        <f t="shared" si="64"/>
        <v>114.3</v>
      </c>
      <c r="I243" s="98">
        <f t="shared" si="65"/>
        <v>1405.89</v>
      </c>
      <c r="J243" s="279">
        <v>0</v>
      </c>
      <c r="K243" s="98">
        <f t="shared" si="66"/>
        <v>0</v>
      </c>
      <c r="L243" s="280">
        <f t="shared" si="67"/>
        <v>45</v>
      </c>
      <c r="M243" s="130">
        <f t="shared" si="68"/>
        <v>114.3</v>
      </c>
      <c r="N243" s="98">
        <f t="shared" si="69"/>
        <v>0</v>
      </c>
      <c r="O243" s="281">
        <v>0</v>
      </c>
      <c r="P243" s="130">
        <f t="shared" si="70"/>
        <v>0</v>
      </c>
      <c r="Q243" s="98">
        <f t="shared" si="71"/>
        <v>0</v>
      </c>
      <c r="R243" s="130">
        <f t="shared" si="72"/>
        <v>0</v>
      </c>
      <c r="V243" s="98"/>
    </row>
    <row r="244" spans="1:22" s="8" customFormat="1" ht="16.5" customHeight="1">
      <c r="A244" s="822" t="s">
        <v>661</v>
      </c>
      <c r="B244" s="766">
        <f>'Weight sheet'!C196</f>
        <v>4199474</v>
      </c>
      <c r="C244" s="766">
        <f>'Weight sheet'!D196</f>
        <v>56798</v>
      </c>
      <c r="D244" s="881">
        <f>'Weight sheet'!F196</f>
        <v>1</v>
      </c>
      <c r="E244" s="869">
        <f>'Weight sheet'!H196</f>
        <v>334.4</v>
      </c>
      <c r="F244" s="130">
        <f t="shared" si="73"/>
        <v>334.4</v>
      </c>
      <c r="G244" s="278">
        <v>43.9</v>
      </c>
      <c r="H244" s="130">
        <f t="shared" si="64"/>
        <v>111.506</v>
      </c>
      <c r="I244" s="98">
        <f t="shared" si="65"/>
        <v>37287.6064</v>
      </c>
      <c r="J244" s="279">
        <v>0</v>
      </c>
      <c r="K244" s="98">
        <f t="shared" si="66"/>
        <v>0</v>
      </c>
      <c r="L244" s="280">
        <f t="shared" si="67"/>
        <v>43.9</v>
      </c>
      <c r="M244" s="130">
        <f t="shared" si="68"/>
        <v>111.506</v>
      </c>
      <c r="N244" s="98">
        <f t="shared" si="69"/>
        <v>0</v>
      </c>
      <c r="O244" s="281">
        <v>0</v>
      </c>
      <c r="P244" s="130">
        <f t="shared" si="70"/>
        <v>0</v>
      </c>
      <c r="Q244" s="98">
        <f t="shared" si="71"/>
        <v>0</v>
      </c>
      <c r="R244" s="130">
        <f t="shared" si="72"/>
        <v>0</v>
      </c>
      <c r="V244" s="98"/>
    </row>
    <row r="245" spans="1:22" s="8" customFormat="1" ht="33.75" customHeight="1">
      <c r="A245" s="824" t="s">
        <v>662</v>
      </c>
      <c r="B245" s="766" t="str">
        <f>'Weight sheet'!C197</f>
        <v>4199080 / 4205772</v>
      </c>
      <c r="C245" s="766" t="str">
        <f>'Weight sheet'!D197</f>
        <v>52443 / 52434</v>
      </c>
      <c r="D245" s="881">
        <f>'Weight sheet'!F197</f>
        <v>1</v>
      </c>
      <c r="E245" s="869">
        <f>'Weight sheet'!H197</f>
        <v>23.3</v>
      </c>
      <c r="F245" s="130">
        <f t="shared" si="73"/>
        <v>23.3</v>
      </c>
      <c r="G245" s="278">
        <v>43.24</v>
      </c>
      <c r="H245" s="130">
        <f t="shared" si="64"/>
        <v>109.82960000000001</v>
      </c>
      <c r="I245" s="98">
        <f t="shared" si="65"/>
        <v>2559.0296800000006</v>
      </c>
      <c r="J245" s="279">
        <v>0</v>
      </c>
      <c r="K245" s="98">
        <f t="shared" si="66"/>
        <v>0</v>
      </c>
      <c r="L245" s="280">
        <f t="shared" si="67"/>
        <v>43.24</v>
      </c>
      <c r="M245" s="130">
        <f t="shared" si="68"/>
        <v>109.82960000000001</v>
      </c>
      <c r="N245" s="98">
        <f t="shared" si="69"/>
        <v>0</v>
      </c>
      <c r="O245" s="281">
        <v>-2.39</v>
      </c>
      <c r="P245" s="130">
        <f t="shared" si="70"/>
        <v>-6.070600000000001</v>
      </c>
      <c r="Q245" s="98">
        <f t="shared" si="71"/>
        <v>-141.44498000000002</v>
      </c>
      <c r="R245" s="130">
        <f t="shared" si="72"/>
        <v>0</v>
      </c>
      <c r="V245" s="98"/>
    </row>
    <row r="246" spans="1:22" s="8" customFormat="1" ht="16.5" customHeight="1">
      <c r="A246" s="822" t="s">
        <v>663</v>
      </c>
      <c r="B246" s="766">
        <f>'Weight sheet'!C198</f>
        <v>4199069</v>
      </c>
      <c r="C246" s="766">
        <f>'Weight sheet'!D198</f>
        <v>52426</v>
      </c>
      <c r="D246" s="881">
        <f>'Weight sheet'!F198</f>
        <v>1</v>
      </c>
      <c r="E246" s="869">
        <f>'Weight sheet'!H198</f>
        <v>26.8</v>
      </c>
      <c r="F246" s="130">
        <f t="shared" si="73"/>
        <v>26.8</v>
      </c>
      <c r="G246" s="278">
        <v>43.24</v>
      </c>
      <c r="H246" s="130">
        <f t="shared" si="64"/>
        <v>109.82960000000001</v>
      </c>
      <c r="I246" s="98">
        <f t="shared" si="65"/>
        <v>2943.4332800000007</v>
      </c>
      <c r="J246" s="279">
        <v>0</v>
      </c>
      <c r="K246" s="98">
        <f t="shared" si="66"/>
        <v>0</v>
      </c>
      <c r="L246" s="280">
        <f t="shared" si="67"/>
        <v>43.24</v>
      </c>
      <c r="M246" s="130">
        <f t="shared" si="68"/>
        <v>109.82960000000001</v>
      </c>
      <c r="N246" s="98">
        <f t="shared" si="69"/>
        <v>0</v>
      </c>
      <c r="O246" s="281">
        <v>2.39</v>
      </c>
      <c r="P246" s="130">
        <f t="shared" si="70"/>
        <v>6.070600000000001</v>
      </c>
      <c r="Q246" s="98">
        <f t="shared" si="71"/>
        <v>162.69208000000003</v>
      </c>
      <c r="R246" s="130">
        <f t="shared" si="72"/>
        <v>0</v>
      </c>
      <c r="V246" s="98"/>
    </row>
    <row r="247" spans="1:22" s="8" customFormat="1" ht="16.5" customHeight="1">
      <c r="A247" s="822" t="s">
        <v>664</v>
      </c>
      <c r="B247" s="766">
        <f>'Weight sheet'!C199</f>
        <v>4199083</v>
      </c>
      <c r="C247" s="766">
        <f>'Weight sheet'!D199</f>
        <v>52447</v>
      </c>
      <c r="D247" s="881">
        <f>'Weight sheet'!F199</f>
        <v>1</v>
      </c>
      <c r="E247" s="869">
        <f>'Weight sheet'!H199</f>
        <v>25.8</v>
      </c>
      <c r="F247" s="130">
        <f t="shared" si="73"/>
        <v>25.8</v>
      </c>
      <c r="G247" s="278">
        <v>43.24</v>
      </c>
      <c r="H247" s="130">
        <f t="shared" si="64"/>
        <v>109.82960000000001</v>
      </c>
      <c r="I247" s="98">
        <f t="shared" si="65"/>
        <v>2833.6036800000006</v>
      </c>
      <c r="J247" s="279">
        <v>0</v>
      </c>
      <c r="K247" s="98">
        <f t="shared" si="66"/>
        <v>0</v>
      </c>
      <c r="L247" s="280">
        <f t="shared" si="67"/>
        <v>43.24</v>
      </c>
      <c r="M247" s="130">
        <f t="shared" si="68"/>
        <v>109.82960000000001</v>
      </c>
      <c r="N247" s="98">
        <f t="shared" si="69"/>
        <v>0</v>
      </c>
      <c r="O247" s="281">
        <v>0.8</v>
      </c>
      <c r="P247" s="130">
        <f t="shared" si="70"/>
        <v>2.032</v>
      </c>
      <c r="Q247" s="98">
        <f t="shared" si="71"/>
        <v>52.4256</v>
      </c>
      <c r="R247" s="130">
        <f t="shared" si="72"/>
        <v>0</v>
      </c>
      <c r="V247" s="98"/>
    </row>
    <row r="248" spans="1:22" s="8" customFormat="1" ht="16.5" customHeight="1">
      <c r="A248" s="822" t="s">
        <v>665</v>
      </c>
      <c r="B248" s="766">
        <f>'Weight sheet'!C200</f>
        <v>4199070</v>
      </c>
      <c r="C248" s="766">
        <f>'Weight sheet'!D200</f>
        <v>52427</v>
      </c>
      <c r="D248" s="881">
        <f>'Weight sheet'!F200</f>
        <v>1</v>
      </c>
      <c r="E248" s="869">
        <f>'Weight sheet'!H200</f>
        <v>8.6</v>
      </c>
      <c r="F248" s="130">
        <f t="shared" si="73"/>
        <v>8.6</v>
      </c>
      <c r="G248" s="278">
        <v>43.24</v>
      </c>
      <c r="H248" s="130">
        <f t="shared" si="64"/>
        <v>109.82960000000001</v>
      </c>
      <c r="I248" s="98">
        <f t="shared" si="65"/>
        <v>944.53456</v>
      </c>
      <c r="J248" s="279">
        <v>0</v>
      </c>
      <c r="K248" s="98">
        <f t="shared" si="66"/>
        <v>0</v>
      </c>
      <c r="L248" s="280">
        <f t="shared" si="67"/>
        <v>43.24</v>
      </c>
      <c r="M248" s="130">
        <f t="shared" si="68"/>
        <v>109.82960000000001</v>
      </c>
      <c r="N248" s="98">
        <f t="shared" si="69"/>
        <v>0</v>
      </c>
      <c r="O248" s="281">
        <v>-0.1</v>
      </c>
      <c r="P248" s="130">
        <f t="shared" si="70"/>
        <v>-0.254</v>
      </c>
      <c r="Q248" s="98">
        <f t="shared" si="71"/>
        <v>-2.1844</v>
      </c>
      <c r="R248" s="130">
        <f t="shared" si="72"/>
        <v>0</v>
      </c>
      <c r="V248" s="98"/>
    </row>
    <row r="249" spans="1:22" s="8" customFormat="1" ht="16.5" customHeight="1">
      <c r="A249" s="822" t="s">
        <v>666</v>
      </c>
      <c r="B249" s="766">
        <f>'Weight sheet'!C201</f>
        <v>4210092</v>
      </c>
      <c r="C249" s="766">
        <f>'Weight sheet'!D201</f>
        <v>55477</v>
      </c>
      <c r="D249" s="881">
        <f>'Weight sheet'!F201</f>
        <v>1</v>
      </c>
      <c r="E249" s="869">
        <f>'Weight sheet'!H201</f>
        <v>1.9</v>
      </c>
      <c r="F249" s="130">
        <f t="shared" si="73"/>
        <v>1.9</v>
      </c>
      <c r="G249" s="278">
        <v>43.24</v>
      </c>
      <c r="H249" s="130">
        <f t="shared" si="64"/>
        <v>109.82960000000001</v>
      </c>
      <c r="I249" s="98">
        <f t="shared" si="65"/>
        <v>208.67624</v>
      </c>
      <c r="J249" s="279">
        <v>0</v>
      </c>
      <c r="K249" s="98">
        <f t="shared" si="66"/>
        <v>0</v>
      </c>
      <c r="L249" s="280">
        <f t="shared" si="67"/>
        <v>43.24</v>
      </c>
      <c r="M249" s="130">
        <f t="shared" si="68"/>
        <v>109.82960000000001</v>
      </c>
      <c r="N249" s="98">
        <f t="shared" si="69"/>
        <v>0</v>
      </c>
      <c r="O249" s="281">
        <v>3</v>
      </c>
      <c r="P249" s="130">
        <f t="shared" si="70"/>
        <v>7.62</v>
      </c>
      <c r="Q249" s="98">
        <f t="shared" si="71"/>
        <v>14.478</v>
      </c>
      <c r="R249" s="130">
        <f t="shared" si="72"/>
        <v>0</v>
      </c>
      <c r="V249" s="98"/>
    </row>
    <row r="250" spans="1:22" s="8" customFormat="1" ht="16.5" customHeight="1">
      <c r="A250" s="822" t="s">
        <v>667</v>
      </c>
      <c r="B250" s="766">
        <f>'Weight sheet'!C202</f>
        <v>4199324</v>
      </c>
      <c r="C250" s="766">
        <f>'Weight sheet'!D202</f>
        <v>56943</v>
      </c>
      <c r="D250" s="881">
        <f>'Weight sheet'!F202</f>
        <v>1</v>
      </c>
      <c r="E250" s="869">
        <f>'Weight sheet'!H202</f>
        <v>422.5</v>
      </c>
      <c r="F250" s="130">
        <f t="shared" si="73"/>
        <v>422.5</v>
      </c>
      <c r="G250" s="278">
        <v>45.3</v>
      </c>
      <c r="H250" s="130">
        <f t="shared" si="64"/>
        <v>115.062</v>
      </c>
      <c r="I250" s="98">
        <f t="shared" si="65"/>
        <v>48613.695</v>
      </c>
      <c r="J250" s="279">
        <v>0</v>
      </c>
      <c r="K250" s="98">
        <f t="shared" si="66"/>
        <v>0</v>
      </c>
      <c r="L250" s="280">
        <f t="shared" si="67"/>
        <v>45.3</v>
      </c>
      <c r="M250" s="130">
        <f t="shared" si="68"/>
        <v>115.062</v>
      </c>
      <c r="N250" s="98">
        <f t="shared" si="69"/>
        <v>0</v>
      </c>
      <c r="O250" s="281">
        <v>0</v>
      </c>
      <c r="P250" s="130">
        <f t="shared" si="70"/>
        <v>0</v>
      </c>
      <c r="Q250" s="98">
        <f t="shared" si="71"/>
        <v>0</v>
      </c>
      <c r="R250" s="130">
        <f t="shared" si="72"/>
        <v>0</v>
      </c>
      <c r="V250" s="98"/>
    </row>
    <row r="251" spans="1:22" s="8" customFormat="1" ht="16.5" customHeight="1">
      <c r="A251" s="822" t="s">
        <v>668</v>
      </c>
      <c r="B251" s="766" t="str">
        <f>'Weight sheet'!C203</f>
        <v>4209126 / 4199125</v>
      </c>
      <c r="C251" s="766" t="str">
        <f>'Weight sheet'!D203</f>
        <v>? / 55225</v>
      </c>
      <c r="D251" s="881">
        <f>'Weight sheet'!F203</f>
        <v>1</v>
      </c>
      <c r="E251" s="869">
        <f>'Weight sheet'!H203</f>
        <v>7.5</v>
      </c>
      <c r="F251" s="130">
        <f t="shared" si="73"/>
        <v>7.5</v>
      </c>
      <c r="G251" s="278">
        <v>43.56</v>
      </c>
      <c r="H251" s="130">
        <f t="shared" si="64"/>
        <v>110.64240000000001</v>
      </c>
      <c r="I251" s="98">
        <f t="shared" si="65"/>
        <v>829.8180000000001</v>
      </c>
      <c r="J251" s="279">
        <v>0</v>
      </c>
      <c r="K251" s="98">
        <f t="shared" si="66"/>
        <v>0</v>
      </c>
      <c r="L251" s="280">
        <f t="shared" si="67"/>
        <v>43.56</v>
      </c>
      <c r="M251" s="130">
        <f t="shared" si="68"/>
        <v>110.64240000000001</v>
      </c>
      <c r="N251" s="98">
        <f t="shared" si="69"/>
        <v>0</v>
      </c>
      <c r="O251" s="281">
        <v>0</v>
      </c>
      <c r="P251" s="130">
        <f t="shared" si="70"/>
        <v>0</v>
      </c>
      <c r="Q251" s="98">
        <f t="shared" si="71"/>
        <v>0</v>
      </c>
      <c r="R251" s="130">
        <f t="shared" si="72"/>
        <v>0</v>
      </c>
      <c r="V251" s="98"/>
    </row>
    <row r="252" spans="1:22" s="8" customFormat="1" ht="16.5" customHeight="1">
      <c r="A252" s="822" t="s">
        <v>669</v>
      </c>
      <c r="B252" s="766">
        <f>'Weight sheet'!C204</f>
        <v>4199418</v>
      </c>
      <c r="C252" s="766">
        <f>'Weight sheet'!D204</f>
        <v>55299</v>
      </c>
      <c r="D252" s="881">
        <f>'Weight sheet'!F204</f>
        <v>1</v>
      </c>
      <c r="E252" s="869">
        <f>'Weight sheet'!H204</f>
        <v>12.5</v>
      </c>
      <c r="F252" s="130">
        <f t="shared" si="73"/>
        <v>12.5</v>
      </c>
      <c r="G252" s="278">
        <v>47.75</v>
      </c>
      <c r="H252" s="130">
        <f t="shared" si="64"/>
        <v>121.285</v>
      </c>
      <c r="I252" s="98">
        <f t="shared" si="65"/>
        <v>1516.0625</v>
      </c>
      <c r="J252" s="279">
        <v>0</v>
      </c>
      <c r="K252" s="98">
        <f t="shared" si="66"/>
        <v>0</v>
      </c>
      <c r="L252" s="280">
        <f t="shared" si="67"/>
        <v>47.75</v>
      </c>
      <c r="M252" s="130">
        <f t="shared" si="68"/>
        <v>121.285</v>
      </c>
      <c r="N252" s="98">
        <f t="shared" si="69"/>
        <v>0</v>
      </c>
      <c r="O252" s="281">
        <v>2.6</v>
      </c>
      <c r="P252" s="130">
        <f t="shared" si="70"/>
        <v>6.604</v>
      </c>
      <c r="Q252" s="98">
        <f t="shared" si="71"/>
        <v>82.55</v>
      </c>
      <c r="R252" s="130">
        <f t="shared" si="72"/>
        <v>0</v>
      </c>
      <c r="V252" s="98"/>
    </row>
    <row r="253" spans="1:22" s="8" customFormat="1" ht="16.5" customHeight="1">
      <c r="A253" s="822" t="s">
        <v>670</v>
      </c>
      <c r="B253" s="766">
        <f>'Weight sheet'!C205</f>
        <v>4199418</v>
      </c>
      <c r="C253" s="766">
        <f>'Weight sheet'!D205</f>
        <v>55299</v>
      </c>
      <c r="D253" s="881">
        <f>'Weight sheet'!F205</f>
        <v>1</v>
      </c>
      <c r="E253" s="869">
        <f>'Weight sheet'!H205</f>
        <v>12.5</v>
      </c>
      <c r="F253" s="130">
        <f t="shared" si="73"/>
        <v>12.5</v>
      </c>
      <c r="G253" s="278">
        <v>47.75</v>
      </c>
      <c r="H253" s="130">
        <f t="shared" si="64"/>
        <v>121.285</v>
      </c>
      <c r="I253" s="98">
        <f t="shared" si="65"/>
        <v>1516.0625</v>
      </c>
      <c r="J253" s="279">
        <v>0</v>
      </c>
      <c r="K253" s="98">
        <f t="shared" si="66"/>
        <v>0</v>
      </c>
      <c r="L253" s="280">
        <f t="shared" si="67"/>
        <v>47.75</v>
      </c>
      <c r="M253" s="130">
        <f t="shared" si="68"/>
        <v>121.285</v>
      </c>
      <c r="N253" s="98">
        <f t="shared" si="69"/>
        <v>0</v>
      </c>
      <c r="O253" s="281">
        <v>-2.6</v>
      </c>
      <c r="P253" s="130">
        <f t="shared" si="70"/>
        <v>-6.604</v>
      </c>
      <c r="Q253" s="98">
        <f t="shared" si="71"/>
        <v>-82.55</v>
      </c>
      <c r="R253" s="130">
        <f t="shared" si="72"/>
        <v>0</v>
      </c>
      <c r="V253" s="98"/>
    </row>
    <row r="254" spans="1:22" s="8" customFormat="1" ht="16.5" customHeight="1">
      <c r="A254" s="822" t="s">
        <v>671</v>
      </c>
      <c r="B254" s="766" t="str">
        <f>'Weight sheet'!C206</f>
        <v>4199119 / 4199122</v>
      </c>
      <c r="C254" s="766" t="str">
        <f>'Weight sheet'!D206</f>
        <v>55183 / 55217</v>
      </c>
      <c r="D254" s="881">
        <f>'Weight sheet'!F206</f>
        <v>1</v>
      </c>
      <c r="E254" s="869">
        <f>'Weight sheet'!H206</f>
        <v>4.5</v>
      </c>
      <c r="F254" s="130">
        <f t="shared" si="73"/>
        <v>4.5</v>
      </c>
      <c r="G254" s="278">
        <v>47.5</v>
      </c>
      <c r="H254" s="130">
        <f t="shared" si="64"/>
        <v>120.65</v>
      </c>
      <c r="I254" s="98">
        <f t="shared" si="65"/>
        <v>542.9250000000001</v>
      </c>
      <c r="J254" s="279">
        <v>0</v>
      </c>
      <c r="K254" s="98">
        <f t="shared" si="66"/>
        <v>0</v>
      </c>
      <c r="L254" s="280">
        <f t="shared" si="67"/>
        <v>47.5</v>
      </c>
      <c r="M254" s="130">
        <f t="shared" si="68"/>
        <v>120.65</v>
      </c>
      <c r="N254" s="98">
        <f t="shared" si="69"/>
        <v>0</v>
      </c>
      <c r="O254" s="281">
        <v>0</v>
      </c>
      <c r="P254" s="130">
        <f t="shared" si="70"/>
        <v>0</v>
      </c>
      <c r="Q254" s="98">
        <f t="shared" si="71"/>
        <v>0</v>
      </c>
      <c r="R254" s="130">
        <f t="shared" si="72"/>
        <v>0</v>
      </c>
      <c r="V254" s="98"/>
    </row>
    <row r="255" spans="1:22" s="8" customFormat="1" ht="16.5" customHeight="1">
      <c r="A255" s="822" t="s">
        <v>672</v>
      </c>
      <c r="B255" s="766" t="str">
        <f>'Weight sheet'!C207</f>
        <v>4199410 / 4134111</v>
      </c>
      <c r="C255" s="766" t="str">
        <f>'Weight sheet'!D207</f>
        <v>52373 / 55257</v>
      </c>
      <c r="D255" s="881">
        <f>'Weight sheet'!F207</f>
        <v>1</v>
      </c>
      <c r="E255" s="869">
        <f>'Weight sheet'!H207</f>
        <v>5</v>
      </c>
      <c r="F255" s="130">
        <f t="shared" si="73"/>
        <v>5</v>
      </c>
      <c r="G255" s="278">
        <v>45.5</v>
      </c>
      <c r="H255" s="130">
        <f t="shared" si="64"/>
        <v>115.57000000000001</v>
      </c>
      <c r="I255" s="98">
        <f t="shared" si="65"/>
        <v>577.85</v>
      </c>
      <c r="J255" s="279">
        <v>0</v>
      </c>
      <c r="K255" s="98">
        <f t="shared" si="66"/>
        <v>0</v>
      </c>
      <c r="L255" s="280">
        <f t="shared" si="67"/>
        <v>45.5</v>
      </c>
      <c r="M255" s="130">
        <f t="shared" si="68"/>
        <v>115.57000000000001</v>
      </c>
      <c r="N255" s="98">
        <f t="shared" si="69"/>
        <v>0</v>
      </c>
      <c r="O255" s="281">
        <v>3.2</v>
      </c>
      <c r="P255" s="130">
        <f t="shared" si="70"/>
        <v>8.128</v>
      </c>
      <c r="Q255" s="98">
        <f t="shared" si="71"/>
        <v>40.64</v>
      </c>
      <c r="R255" s="130">
        <f t="shared" si="72"/>
        <v>0</v>
      </c>
      <c r="V255" s="98"/>
    </row>
    <row r="256" spans="1:22" s="8" customFormat="1" ht="16.5" customHeight="1">
      <c r="A256" s="822" t="s">
        <v>674</v>
      </c>
      <c r="B256" s="766" t="str">
        <f>'Weight sheet'!C208</f>
        <v>4199345 / 4134111</v>
      </c>
      <c r="C256" s="766" t="str">
        <f>'Weight sheet'!D208</f>
        <v>49888 / 55257</v>
      </c>
      <c r="D256" s="881">
        <f>'Weight sheet'!F208</f>
        <v>1</v>
      </c>
      <c r="E256" s="869">
        <f>'Weight sheet'!H208</f>
        <v>6.4</v>
      </c>
      <c r="F256" s="130">
        <f t="shared" si="73"/>
        <v>6.4</v>
      </c>
      <c r="G256" s="278">
        <v>45.5</v>
      </c>
      <c r="H256" s="130">
        <f t="shared" si="64"/>
        <v>115.57000000000001</v>
      </c>
      <c r="I256" s="98">
        <f t="shared" si="65"/>
        <v>739.6480000000001</v>
      </c>
      <c r="J256" s="279">
        <v>0</v>
      </c>
      <c r="K256" s="98">
        <f t="shared" si="66"/>
        <v>0</v>
      </c>
      <c r="L256" s="280">
        <f t="shared" si="67"/>
        <v>45.5</v>
      </c>
      <c r="M256" s="130">
        <f t="shared" si="68"/>
        <v>115.57000000000001</v>
      </c>
      <c r="N256" s="98">
        <f t="shared" si="69"/>
        <v>0</v>
      </c>
      <c r="O256" s="281">
        <v>1.5</v>
      </c>
      <c r="P256" s="130">
        <f t="shared" si="70"/>
        <v>3.81</v>
      </c>
      <c r="Q256" s="98">
        <f t="shared" si="71"/>
        <v>24.384</v>
      </c>
      <c r="R256" s="130">
        <f t="shared" si="72"/>
        <v>0</v>
      </c>
      <c r="V256" s="98"/>
    </row>
    <row r="257" spans="1:22" s="8" customFormat="1" ht="16.5" customHeight="1">
      <c r="A257" s="822" t="s">
        <v>588</v>
      </c>
      <c r="B257" s="766" t="str">
        <f>'Weight sheet'!C209</f>
        <v>4199345 / 4134111</v>
      </c>
      <c r="C257" s="766" t="str">
        <f>'Weight sheet'!D209</f>
        <v>49888 / 55257</v>
      </c>
      <c r="D257" s="881">
        <f>'Weight sheet'!F209</f>
        <v>1</v>
      </c>
      <c r="E257" s="869">
        <f>'Weight sheet'!H209</f>
        <v>6.3</v>
      </c>
      <c r="F257" s="130">
        <f t="shared" si="73"/>
        <v>6.3</v>
      </c>
      <c r="G257" s="278">
        <v>45.5</v>
      </c>
      <c r="H257" s="130">
        <f t="shared" si="64"/>
        <v>115.57000000000001</v>
      </c>
      <c r="I257" s="98">
        <f t="shared" si="65"/>
        <v>728.091</v>
      </c>
      <c r="J257" s="279">
        <v>0</v>
      </c>
      <c r="K257" s="98">
        <f t="shared" si="66"/>
        <v>0</v>
      </c>
      <c r="L257" s="280">
        <f t="shared" si="67"/>
        <v>45.5</v>
      </c>
      <c r="M257" s="130">
        <f t="shared" si="68"/>
        <v>115.57000000000001</v>
      </c>
      <c r="N257" s="98">
        <f t="shared" si="69"/>
        <v>0</v>
      </c>
      <c r="O257" s="281">
        <v>-1.5</v>
      </c>
      <c r="P257" s="130">
        <f t="shared" si="70"/>
        <v>-3.81</v>
      </c>
      <c r="Q257" s="98">
        <f t="shared" si="71"/>
        <v>-24.003</v>
      </c>
      <c r="R257" s="130">
        <f t="shared" si="72"/>
        <v>0</v>
      </c>
      <c r="V257" s="98"/>
    </row>
    <row r="258" spans="1:22" s="8" customFormat="1" ht="33.75" customHeight="1">
      <c r="A258" s="824" t="s">
        <v>589</v>
      </c>
      <c r="B258" s="766" t="str">
        <f>'Weight sheet'!C210</f>
        <v>4199345 / 4134111</v>
      </c>
      <c r="C258" s="766" t="str">
        <f>'Weight sheet'!D210</f>
        <v>49888 / 55257</v>
      </c>
      <c r="D258" s="881">
        <f>'Weight sheet'!F210</f>
        <v>1</v>
      </c>
      <c r="E258" s="869">
        <f>'Weight sheet'!H210</f>
        <v>6.4</v>
      </c>
      <c r="F258" s="130">
        <f t="shared" si="73"/>
        <v>6.4</v>
      </c>
      <c r="G258" s="278">
        <v>45.5</v>
      </c>
      <c r="H258" s="130">
        <f t="shared" si="64"/>
        <v>115.57000000000001</v>
      </c>
      <c r="I258" s="98">
        <f t="shared" si="65"/>
        <v>739.6480000000001</v>
      </c>
      <c r="J258" s="279">
        <v>0</v>
      </c>
      <c r="K258" s="98">
        <f t="shared" si="66"/>
        <v>0</v>
      </c>
      <c r="L258" s="280">
        <f t="shared" si="67"/>
        <v>45.5</v>
      </c>
      <c r="M258" s="130">
        <f t="shared" si="68"/>
        <v>115.57000000000001</v>
      </c>
      <c r="N258" s="98">
        <f t="shared" si="69"/>
        <v>0</v>
      </c>
      <c r="O258" s="281">
        <v>-3.2</v>
      </c>
      <c r="P258" s="130">
        <f t="shared" si="70"/>
        <v>-8.128</v>
      </c>
      <c r="Q258" s="98">
        <f t="shared" si="71"/>
        <v>-52.019200000000005</v>
      </c>
      <c r="R258" s="130">
        <f t="shared" si="72"/>
        <v>0</v>
      </c>
      <c r="V258" s="98"/>
    </row>
    <row r="259" spans="1:5" ht="16.5" customHeight="1">
      <c r="A259" s="825" t="s">
        <v>590</v>
      </c>
      <c r="B259" s="766"/>
      <c r="C259" s="766"/>
      <c r="D259" s="881">
        <f>'Weight sheet'!F211</f>
        <v>0</v>
      </c>
      <c r="E259" s="869">
        <f>'Weight sheet'!H211</f>
        <v>0</v>
      </c>
    </row>
    <row r="260" spans="1:22" s="8" customFormat="1" ht="33.75" customHeight="1">
      <c r="A260" s="824" t="s">
        <v>591</v>
      </c>
      <c r="B260" s="766" t="str">
        <f>'Weight sheet'!C212</f>
        <v>4199368 / 4198939 / 4199123</v>
      </c>
      <c r="C260" s="766" t="str">
        <f>'Weight sheet'!D212</f>
        <v>52255 / 49814 / 55220</v>
      </c>
      <c r="D260" s="881">
        <f>'Weight sheet'!F212</f>
        <v>1</v>
      </c>
      <c r="E260" s="869">
        <f>'Weight sheet'!H212</f>
        <v>41</v>
      </c>
      <c r="F260" s="130">
        <f>E260*D260</f>
        <v>41</v>
      </c>
      <c r="G260" s="278">
        <v>47.75</v>
      </c>
      <c r="H260" s="130">
        <f>G260*2.54</f>
        <v>121.285</v>
      </c>
      <c r="I260" s="98">
        <f>F260*H260</f>
        <v>4972.6849999999995</v>
      </c>
      <c r="J260" s="279">
        <v>0</v>
      </c>
      <c r="K260" s="98">
        <f>J260*D260</f>
        <v>0</v>
      </c>
      <c r="L260" s="280">
        <f>G260</f>
        <v>47.75</v>
      </c>
      <c r="M260" s="130">
        <f>L260*2.54</f>
        <v>121.285</v>
      </c>
      <c r="N260" s="98">
        <f>K260*M260</f>
        <v>0</v>
      </c>
      <c r="O260" s="281">
        <v>2.5</v>
      </c>
      <c r="P260" s="130">
        <f>O260*2.54</f>
        <v>6.35</v>
      </c>
      <c r="Q260" s="98">
        <f>F260*P260</f>
        <v>260.34999999999997</v>
      </c>
      <c r="R260" s="130">
        <f>K260*P260</f>
        <v>0</v>
      </c>
      <c r="V260" s="98"/>
    </row>
    <row r="261" spans="1:22" s="8" customFormat="1" ht="33.75" customHeight="1">
      <c r="A261" s="824" t="s">
        <v>593</v>
      </c>
      <c r="B261" s="766" t="str">
        <f>'Weight sheet'!C213</f>
        <v>4199369 / 4198939 / 4199123</v>
      </c>
      <c r="C261" s="766" t="str">
        <f>'Weight sheet'!D213</f>
        <v>52256 / 49814 / 55220</v>
      </c>
      <c r="D261" s="881">
        <f>'Weight sheet'!F213</f>
        <v>1</v>
      </c>
      <c r="E261" s="869">
        <f>'Weight sheet'!H213</f>
        <v>38.6</v>
      </c>
      <c r="F261" s="130">
        <f>E261*D261</f>
        <v>38.6</v>
      </c>
      <c r="G261" s="278">
        <v>47.75</v>
      </c>
      <c r="H261" s="130">
        <f>G261*2.54</f>
        <v>121.285</v>
      </c>
      <c r="I261" s="98">
        <f>F261*H261</f>
        <v>4681.601</v>
      </c>
      <c r="J261" s="279">
        <v>0</v>
      </c>
      <c r="K261" s="98">
        <f>J261*D261</f>
        <v>0</v>
      </c>
      <c r="L261" s="280">
        <f>G261</f>
        <v>47.75</v>
      </c>
      <c r="M261" s="130">
        <f>L261*2.54</f>
        <v>121.285</v>
      </c>
      <c r="N261" s="98">
        <f>K261*M261</f>
        <v>0</v>
      </c>
      <c r="O261" s="281">
        <v>2.5</v>
      </c>
      <c r="P261" s="130">
        <f>O261*2.54</f>
        <v>6.35</v>
      </c>
      <c r="Q261" s="98">
        <f>F261*P261</f>
        <v>245.10999999999999</v>
      </c>
      <c r="R261" s="130">
        <f>K261*P261</f>
        <v>0</v>
      </c>
      <c r="V261" s="98"/>
    </row>
    <row r="262" spans="1:22" s="8" customFormat="1" ht="25.5" customHeight="1">
      <c r="A262" s="822" t="s">
        <v>470</v>
      </c>
      <c r="B262" s="766" t="str">
        <f>'Weight sheet'!C214</f>
        <v>4199133 / 4198939 / 4199123</v>
      </c>
      <c r="C262" s="766" t="str">
        <f>'Weight sheet'!D214</f>
        <v>55250 / 55212 / 55225 </v>
      </c>
      <c r="D262" s="881">
        <f>'Weight sheet'!F214</f>
        <v>1</v>
      </c>
      <c r="E262" s="869">
        <f>'Weight sheet'!H214</f>
        <v>2.1</v>
      </c>
      <c r="F262" s="130">
        <f>E262*D262</f>
        <v>2.1</v>
      </c>
      <c r="G262" s="278">
        <v>47.64</v>
      </c>
      <c r="H262" s="130">
        <f>G262*2.54</f>
        <v>121.0056</v>
      </c>
      <c r="I262" s="98">
        <f>F262*H262</f>
        <v>254.11176</v>
      </c>
      <c r="J262" s="279">
        <v>0</v>
      </c>
      <c r="K262" s="98">
        <f>J262*D262</f>
        <v>0</v>
      </c>
      <c r="L262" s="280">
        <f>G262</f>
        <v>47.64</v>
      </c>
      <c r="M262" s="130">
        <f>L262*2.54</f>
        <v>121.0056</v>
      </c>
      <c r="N262" s="98">
        <f>K262*M262</f>
        <v>0</v>
      </c>
      <c r="O262" s="281">
        <v>0</v>
      </c>
      <c r="P262" s="130">
        <f>O262*2.54</f>
        <v>0</v>
      </c>
      <c r="Q262" s="98">
        <f>F262*P262</f>
        <v>0</v>
      </c>
      <c r="R262" s="130">
        <f>K262*P262</f>
        <v>0</v>
      </c>
      <c r="V262" s="98"/>
    </row>
    <row r="263" spans="1:22" s="109" customFormat="1" ht="16.5" customHeight="1">
      <c r="A263" s="806" t="s">
        <v>472</v>
      </c>
      <c r="B263" s="766" t="str">
        <f>'Weight sheet'!C215</f>
        <v>4199111 / 4199122</v>
      </c>
      <c r="C263" s="766" t="str">
        <f>'Weight sheet'!D215</f>
        <v>55183 / 55217</v>
      </c>
      <c r="D263" s="881">
        <f>'Weight sheet'!F215</f>
        <v>1</v>
      </c>
      <c r="E263" s="869">
        <f>'Weight sheet'!H215</f>
        <v>2.6</v>
      </c>
      <c r="F263" s="208">
        <f>E263*D263</f>
        <v>2.6</v>
      </c>
      <c r="G263" s="225">
        <v>48.28</v>
      </c>
      <c r="H263" s="208">
        <f>G263*2.54</f>
        <v>122.6312</v>
      </c>
      <c r="I263" s="132">
        <f>F263*H263</f>
        <v>318.84112000000005</v>
      </c>
      <c r="J263" s="279">
        <v>0</v>
      </c>
      <c r="K263" s="132">
        <f>J263*D263</f>
        <v>0</v>
      </c>
      <c r="L263" s="227">
        <f>G263</f>
        <v>48.28</v>
      </c>
      <c r="M263" s="208">
        <f>L263*2.54</f>
        <v>122.6312</v>
      </c>
      <c r="N263" s="132">
        <f>K263*M263</f>
        <v>0</v>
      </c>
      <c r="O263" s="210">
        <v>0</v>
      </c>
      <c r="P263" s="208">
        <f>O263*2.54</f>
        <v>0</v>
      </c>
      <c r="Q263" s="132">
        <f>F263*P263</f>
        <v>0</v>
      </c>
      <c r="R263" s="208">
        <f>K263*P263</f>
        <v>0</v>
      </c>
      <c r="V263" s="132"/>
    </row>
    <row r="264" spans="1:22" s="8" customFormat="1" ht="16.5" customHeight="1">
      <c r="A264" s="822" t="s">
        <v>326</v>
      </c>
      <c r="B264" s="766" t="str">
        <f>'Weight sheet'!C216</f>
        <v>4199111 / 4199122</v>
      </c>
      <c r="C264" s="766" t="str">
        <f>'Weight sheet'!D216</f>
        <v>55183 / 55217</v>
      </c>
      <c r="D264" s="881">
        <f>'Weight sheet'!F216</f>
        <v>1</v>
      </c>
      <c r="E264" s="869">
        <f>'Weight sheet'!H216</f>
        <v>5.4</v>
      </c>
      <c r="F264" s="130">
        <f>E264*D264</f>
        <v>5.4</v>
      </c>
      <c r="G264" s="278">
        <v>47.9</v>
      </c>
      <c r="H264" s="130">
        <f>G264*2.54</f>
        <v>121.666</v>
      </c>
      <c r="I264" s="98">
        <f>F264*H264</f>
        <v>656.9964</v>
      </c>
      <c r="J264" s="279">
        <v>0</v>
      </c>
      <c r="K264" s="98">
        <f>J264*D264</f>
        <v>0</v>
      </c>
      <c r="L264" s="280">
        <f>G264</f>
        <v>47.9</v>
      </c>
      <c r="M264" s="130">
        <f>L264*2.54</f>
        <v>121.666</v>
      </c>
      <c r="N264" s="98">
        <f>K264*M264</f>
        <v>0</v>
      </c>
      <c r="O264" s="281">
        <v>0</v>
      </c>
      <c r="P264" s="130">
        <f>O264*2.54</f>
        <v>0</v>
      </c>
      <c r="Q264" s="98">
        <f>F264*P264</f>
        <v>0</v>
      </c>
      <c r="R264" s="130">
        <f>K264*P264</f>
        <v>0</v>
      </c>
      <c r="V264" s="98"/>
    </row>
    <row r="265" spans="1:22" s="8" customFormat="1" ht="16.5" customHeight="1">
      <c r="A265" s="825" t="s">
        <v>327</v>
      </c>
      <c r="B265" s="766"/>
      <c r="C265" s="766"/>
      <c r="D265" s="881"/>
      <c r="E265" s="869"/>
      <c r="F265" s="130"/>
      <c r="G265" s="278"/>
      <c r="H265" s="130"/>
      <c r="I265" s="98"/>
      <c r="J265" s="279"/>
      <c r="K265" s="98"/>
      <c r="L265" s="280"/>
      <c r="M265" s="130"/>
      <c r="N265" s="98"/>
      <c r="O265" s="281"/>
      <c r="P265" s="130"/>
      <c r="Q265" s="98"/>
      <c r="R265" s="130"/>
      <c r="V265" s="98"/>
    </row>
    <row r="266" spans="1:22" s="8" customFormat="1" ht="16.5" customHeight="1">
      <c r="A266" s="822" t="s">
        <v>328</v>
      </c>
      <c r="B266" s="766">
        <f>'Weight sheet'!C218</f>
        <v>4199419</v>
      </c>
      <c r="C266" s="766">
        <f>'Weight sheet'!D218</f>
        <v>55302</v>
      </c>
      <c r="D266" s="881">
        <f>'Weight sheet'!F218</f>
        <v>1</v>
      </c>
      <c r="E266" s="869">
        <f>'Weight sheet'!H218</f>
        <v>25</v>
      </c>
      <c r="F266" s="130">
        <f aca="true" t="shared" si="74" ref="F266:F278">E266*D266</f>
        <v>25</v>
      </c>
      <c r="G266" s="278">
        <v>45.5</v>
      </c>
      <c r="H266" s="130">
        <f aca="true" t="shared" si="75" ref="H266:H278">G266*2.54</f>
        <v>115.57000000000001</v>
      </c>
      <c r="I266" s="98">
        <f aca="true" t="shared" si="76" ref="I266:I278">F266*H266</f>
        <v>2889.25</v>
      </c>
      <c r="J266" s="279">
        <v>0</v>
      </c>
      <c r="K266" s="98">
        <f aca="true" t="shared" si="77" ref="K266:K278">J266*D266</f>
        <v>0</v>
      </c>
      <c r="L266" s="280">
        <f aca="true" t="shared" si="78" ref="L266:L278">G266</f>
        <v>45.5</v>
      </c>
      <c r="M266" s="130">
        <f aca="true" t="shared" si="79" ref="M266:M278">L266*2.54</f>
        <v>115.57000000000001</v>
      </c>
      <c r="N266" s="98">
        <f aca="true" t="shared" si="80" ref="N266:N278">K266*M266</f>
        <v>0</v>
      </c>
      <c r="O266" s="281">
        <v>3.4</v>
      </c>
      <c r="P266" s="130">
        <f aca="true" t="shared" si="81" ref="P266:P278">O266*2.54</f>
        <v>8.636</v>
      </c>
      <c r="Q266" s="98">
        <f aca="true" t="shared" si="82" ref="Q266:Q278">F266*P266</f>
        <v>215.89999999999998</v>
      </c>
      <c r="R266" s="130">
        <f aca="true" t="shared" si="83" ref="R266:R278">K266*P266</f>
        <v>0</v>
      </c>
      <c r="V266" s="98"/>
    </row>
    <row r="267" spans="1:22" s="8" customFormat="1" ht="16.5" customHeight="1">
      <c r="A267" s="822" t="s">
        <v>477</v>
      </c>
      <c r="B267" s="766">
        <f>'Weight sheet'!C220</f>
        <v>4199423</v>
      </c>
      <c r="C267" s="766">
        <f>'Weight sheet'!D220</f>
        <v>55385</v>
      </c>
      <c r="D267" s="881">
        <f>'Weight sheet'!F220</f>
        <v>1</v>
      </c>
      <c r="E267" s="869">
        <f>'Weight sheet'!H220</f>
        <v>33.6</v>
      </c>
      <c r="F267" s="130">
        <f t="shared" si="74"/>
        <v>33.6</v>
      </c>
      <c r="G267" s="278">
        <v>45.5</v>
      </c>
      <c r="H267" s="130">
        <f t="shared" si="75"/>
        <v>115.57000000000001</v>
      </c>
      <c r="I267" s="98">
        <f t="shared" si="76"/>
        <v>3883.1520000000005</v>
      </c>
      <c r="J267" s="279">
        <v>0</v>
      </c>
      <c r="K267" s="98">
        <f t="shared" si="77"/>
        <v>0</v>
      </c>
      <c r="L267" s="280">
        <f t="shared" si="78"/>
        <v>45.5</v>
      </c>
      <c r="M267" s="130">
        <f t="shared" si="79"/>
        <v>115.57000000000001</v>
      </c>
      <c r="N267" s="98">
        <f t="shared" si="80"/>
        <v>0</v>
      </c>
      <c r="O267" s="281">
        <v>1.7</v>
      </c>
      <c r="P267" s="130">
        <f t="shared" si="81"/>
        <v>4.318</v>
      </c>
      <c r="Q267" s="98">
        <f t="shared" si="82"/>
        <v>145.0848</v>
      </c>
      <c r="R267" s="130">
        <f t="shared" si="83"/>
        <v>0</v>
      </c>
      <c r="V267" s="98"/>
    </row>
    <row r="268" spans="1:22" s="8" customFormat="1" ht="16.5" customHeight="1">
      <c r="A268" s="822" t="s">
        <v>478</v>
      </c>
      <c r="B268" s="766">
        <f>'Weight sheet'!C221</f>
        <v>4199373</v>
      </c>
      <c r="C268" s="766">
        <f>'Weight sheet'!D221</f>
        <v>52261</v>
      </c>
      <c r="D268" s="881">
        <f>'Weight sheet'!F221</f>
        <v>1</v>
      </c>
      <c r="E268" s="869">
        <f>'Weight sheet'!H221</f>
        <v>3.2</v>
      </c>
      <c r="F268" s="130">
        <f t="shared" si="74"/>
        <v>3.2</v>
      </c>
      <c r="G268" s="278">
        <v>44.4</v>
      </c>
      <c r="H268" s="130">
        <f t="shared" si="75"/>
        <v>112.776</v>
      </c>
      <c r="I268" s="98">
        <f t="shared" si="76"/>
        <v>360.8832</v>
      </c>
      <c r="J268" s="279">
        <v>0</v>
      </c>
      <c r="K268" s="98">
        <f t="shared" si="77"/>
        <v>0</v>
      </c>
      <c r="L268" s="130">
        <f t="shared" si="78"/>
        <v>44.4</v>
      </c>
      <c r="M268" s="130">
        <f t="shared" si="79"/>
        <v>112.776</v>
      </c>
      <c r="N268" s="98">
        <f t="shared" si="80"/>
        <v>0</v>
      </c>
      <c r="O268" s="281">
        <v>1.5</v>
      </c>
      <c r="P268" s="130">
        <f t="shared" si="81"/>
        <v>3.81</v>
      </c>
      <c r="Q268" s="98">
        <f t="shared" si="82"/>
        <v>12.192</v>
      </c>
      <c r="R268" s="130">
        <f t="shared" si="83"/>
        <v>0</v>
      </c>
      <c r="V268" s="98"/>
    </row>
    <row r="269" spans="1:22" s="8" customFormat="1" ht="16.5" customHeight="1">
      <c r="A269" s="822" t="s">
        <v>479</v>
      </c>
      <c r="B269" s="766" t="str">
        <f>'Weight sheet'!C222</f>
        <v>4199344 / 4199124</v>
      </c>
      <c r="C269" s="766" t="str">
        <f>'Weight sheet'!D222</f>
        <v>49887 / 55221</v>
      </c>
      <c r="D269" s="881">
        <f>'Weight sheet'!F222</f>
        <v>1</v>
      </c>
      <c r="E269" s="869">
        <f>'Weight sheet'!H222</f>
        <v>20.4</v>
      </c>
      <c r="F269" s="130">
        <f t="shared" si="74"/>
        <v>20.4</v>
      </c>
      <c r="G269" s="278">
        <v>45.5</v>
      </c>
      <c r="H269" s="130">
        <f t="shared" si="75"/>
        <v>115.57000000000001</v>
      </c>
      <c r="I269" s="98">
        <f t="shared" si="76"/>
        <v>2357.628</v>
      </c>
      <c r="J269" s="279">
        <v>0</v>
      </c>
      <c r="K269" s="98">
        <f t="shared" si="77"/>
        <v>0</v>
      </c>
      <c r="L269" s="280">
        <f t="shared" si="78"/>
        <v>45.5</v>
      </c>
      <c r="M269" s="130">
        <f t="shared" si="79"/>
        <v>115.57000000000001</v>
      </c>
      <c r="N269" s="98">
        <f t="shared" si="80"/>
        <v>0</v>
      </c>
      <c r="O269" s="281">
        <v>1.9</v>
      </c>
      <c r="P269" s="130">
        <f t="shared" si="81"/>
        <v>4.826</v>
      </c>
      <c r="Q269" s="98">
        <f t="shared" si="82"/>
        <v>98.45039999999999</v>
      </c>
      <c r="R269" s="130">
        <f t="shared" si="83"/>
        <v>0</v>
      </c>
      <c r="V269" s="98"/>
    </row>
    <row r="270" spans="1:22" s="8" customFormat="1" ht="16.5" customHeight="1">
      <c r="A270" s="822" t="s">
        <v>481</v>
      </c>
      <c r="B270" s="766">
        <f>'Weight sheet'!C223</f>
        <v>4199425</v>
      </c>
      <c r="C270" s="766">
        <f>'Weight sheet'!D223</f>
        <v>55388</v>
      </c>
      <c r="D270" s="881">
        <f>'Weight sheet'!F223</f>
        <v>1</v>
      </c>
      <c r="E270" s="869">
        <f>'Weight sheet'!H223</f>
        <v>22.5</v>
      </c>
      <c r="F270" s="130">
        <f t="shared" si="74"/>
        <v>22.5</v>
      </c>
      <c r="G270" s="278">
        <v>45.5</v>
      </c>
      <c r="H270" s="130">
        <f t="shared" si="75"/>
        <v>115.57000000000001</v>
      </c>
      <c r="I270" s="98">
        <f t="shared" si="76"/>
        <v>2600.3250000000003</v>
      </c>
      <c r="J270" s="279">
        <v>0</v>
      </c>
      <c r="K270" s="98">
        <f t="shared" si="77"/>
        <v>0</v>
      </c>
      <c r="L270" s="280">
        <f t="shared" si="78"/>
        <v>45.5</v>
      </c>
      <c r="M270" s="130">
        <f t="shared" si="79"/>
        <v>115.57000000000001</v>
      </c>
      <c r="N270" s="98">
        <f t="shared" si="80"/>
        <v>0</v>
      </c>
      <c r="O270" s="281">
        <v>-1.7</v>
      </c>
      <c r="P270" s="130">
        <f t="shared" si="81"/>
        <v>-4.318</v>
      </c>
      <c r="Q270" s="98">
        <f t="shared" si="82"/>
        <v>-97.15499999999999</v>
      </c>
      <c r="R270" s="130">
        <f t="shared" si="83"/>
        <v>0</v>
      </c>
      <c r="V270" s="98"/>
    </row>
    <row r="271" spans="1:22" s="8" customFormat="1" ht="16.5" customHeight="1">
      <c r="A271" s="822" t="s">
        <v>482</v>
      </c>
      <c r="B271" s="766">
        <f>'Weight sheet'!C224</f>
        <v>4199372</v>
      </c>
      <c r="C271" s="766">
        <f>'Weight sheet'!D224</f>
        <v>52260</v>
      </c>
      <c r="D271" s="881">
        <f>'Weight sheet'!F224</f>
        <v>1</v>
      </c>
      <c r="E271" s="869">
        <f>'Weight sheet'!H224</f>
        <v>5.4</v>
      </c>
      <c r="F271" s="130">
        <f t="shared" si="74"/>
        <v>5.4</v>
      </c>
      <c r="G271" s="278">
        <v>44.4</v>
      </c>
      <c r="H271" s="130">
        <f t="shared" si="75"/>
        <v>112.776</v>
      </c>
      <c r="I271" s="98">
        <f t="shared" si="76"/>
        <v>608.9904</v>
      </c>
      <c r="J271" s="279">
        <v>0</v>
      </c>
      <c r="K271" s="98">
        <f t="shared" si="77"/>
        <v>0</v>
      </c>
      <c r="L271" s="130">
        <f t="shared" si="78"/>
        <v>44.4</v>
      </c>
      <c r="M271" s="130">
        <f t="shared" si="79"/>
        <v>112.776</v>
      </c>
      <c r="N271" s="98">
        <f t="shared" si="80"/>
        <v>0</v>
      </c>
      <c r="O271" s="281">
        <v>0.5</v>
      </c>
      <c r="P271" s="130">
        <f t="shared" si="81"/>
        <v>1.27</v>
      </c>
      <c r="Q271" s="98">
        <f t="shared" si="82"/>
        <v>6.8580000000000005</v>
      </c>
      <c r="R271" s="130">
        <f t="shared" si="83"/>
        <v>0</v>
      </c>
      <c r="V271" s="98"/>
    </row>
    <row r="272" spans="1:22" s="8" customFormat="1" ht="16.5" customHeight="1">
      <c r="A272" s="822" t="s">
        <v>483</v>
      </c>
      <c r="B272" s="766" t="str">
        <f>'Weight sheet'!C225</f>
        <v>4199409 / 4199124</v>
      </c>
      <c r="C272" s="766" t="str">
        <f>'Weight sheet'!D225</f>
        <v>52371 / 55221</v>
      </c>
      <c r="D272" s="881">
        <f>'Weight sheet'!F225</f>
        <v>1</v>
      </c>
      <c r="E272" s="869">
        <f>'Weight sheet'!H225</f>
        <v>14.7</v>
      </c>
      <c r="F272" s="130">
        <f t="shared" si="74"/>
        <v>14.7</v>
      </c>
      <c r="G272" s="278">
        <v>45.5</v>
      </c>
      <c r="H272" s="130">
        <f t="shared" si="75"/>
        <v>115.57000000000001</v>
      </c>
      <c r="I272" s="98">
        <f t="shared" si="76"/>
        <v>1698.8790000000001</v>
      </c>
      <c r="J272" s="279">
        <v>0</v>
      </c>
      <c r="K272" s="98">
        <f t="shared" si="77"/>
        <v>0</v>
      </c>
      <c r="L272" s="280">
        <f t="shared" si="78"/>
        <v>45.5</v>
      </c>
      <c r="M272" s="130">
        <f t="shared" si="79"/>
        <v>115.57000000000001</v>
      </c>
      <c r="N272" s="98">
        <f t="shared" si="80"/>
        <v>0</v>
      </c>
      <c r="O272" s="281">
        <v>-1.9</v>
      </c>
      <c r="P272" s="130">
        <f t="shared" si="81"/>
        <v>-4.826</v>
      </c>
      <c r="Q272" s="98">
        <f t="shared" si="82"/>
        <v>-70.94219999999999</v>
      </c>
      <c r="R272" s="130">
        <f t="shared" si="83"/>
        <v>0</v>
      </c>
      <c r="V272" s="98"/>
    </row>
    <row r="273" spans="1:22" s="8" customFormat="1" ht="16.5" customHeight="1">
      <c r="A273" s="822" t="s">
        <v>485</v>
      </c>
      <c r="B273" s="766">
        <f>'Weight sheet'!C226</f>
        <v>4199436</v>
      </c>
      <c r="C273" s="766">
        <f>'Weight sheet'!D226</f>
        <v>55524</v>
      </c>
      <c r="D273" s="881">
        <f>'Weight sheet'!F226</f>
        <v>0</v>
      </c>
      <c r="E273" s="869">
        <f>'Weight sheet'!H226</f>
        <v>0</v>
      </c>
      <c r="F273" s="130">
        <f t="shared" si="74"/>
        <v>0</v>
      </c>
      <c r="G273" s="278">
        <v>45.5</v>
      </c>
      <c r="H273" s="130">
        <f t="shared" si="75"/>
        <v>115.57000000000001</v>
      </c>
      <c r="I273" s="98">
        <f t="shared" si="76"/>
        <v>0</v>
      </c>
      <c r="J273" s="279">
        <v>0</v>
      </c>
      <c r="K273" s="98">
        <f t="shared" si="77"/>
        <v>0</v>
      </c>
      <c r="L273" s="130">
        <f t="shared" si="78"/>
        <v>45.5</v>
      </c>
      <c r="M273" s="130">
        <f t="shared" si="79"/>
        <v>115.57000000000001</v>
      </c>
      <c r="N273" s="98">
        <f t="shared" si="80"/>
        <v>0</v>
      </c>
      <c r="O273" s="281">
        <v>-3.4</v>
      </c>
      <c r="P273" s="130">
        <f t="shared" si="81"/>
        <v>-8.636</v>
      </c>
      <c r="Q273" s="98">
        <f t="shared" si="82"/>
        <v>0</v>
      </c>
      <c r="R273" s="130">
        <f t="shared" si="83"/>
        <v>0</v>
      </c>
      <c r="V273" s="98"/>
    </row>
    <row r="274" spans="1:22" s="8" customFormat="1" ht="16.5" customHeight="1">
      <c r="A274" s="822" t="s">
        <v>486</v>
      </c>
      <c r="B274" s="766">
        <f>'Weight sheet'!C227</f>
        <v>4199377</v>
      </c>
      <c r="C274" s="766">
        <f>'Weight sheet'!D227</f>
        <v>52265</v>
      </c>
      <c r="D274" s="881">
        <f>'Weight sheet'!F227</f>
        <v>0</v>
      </c>
      <c r="E274" s="869">
        <f>'Weight sheet'!H227</f>
        <v>0</v>
      </c>
      <c r="F274" s="130">
        <f t="shared" si="74"/>
        <v>0</v>
      </c>
      <c r="G274" s="278">
        <v>44.4</v>
      </c>
      <c r="H274" s="130">
        <f t="shared" si="75"/>
        <v>112.776</v>
      </c>
      <c r="I274" s="98">
        <f t="shared" si="76"/>
        <v>0</v>
      </c>
      <c r="J274" s="279">
        <v>0</v>
      </c>
      <c r="K274" s="98">
        <f t="shared" si="77"/>
        <v>0</v>
      </c>
      <c r="L274" s="130">
        <f t="shared" si="78"/>
        <v>44.4</v>
      </c>
      <c r="M274" s="130">
        <f t="shared" si="79"/>
        <v>112.776</v>
      </c>
      <c r="N274" s="98">
        <f t="shared" si="80"/>
        <v>0</v>
      </c>
      <c r="O274" s="281">
        <v>0</v>
      </c>
      <c r="P274" s="130">
        <f t="shared" si="81"/>
        <v>0</v>
      </c>
      <c r="Q274" s="98">
        <f t="shared" si="82"/>
        <v>0</v>
      </c>
      <c r="R274" s="130">
        <f t="shared" si="83"/>
        <v>0</v>
      </c>
      <c r="V274" s="98"/>
    </row>
    <row r="275" spans="1:22" s="8" customFormat="1" ht="16.5" customHeight="1">
      <c r="A275" s="822" t="s">
        <v>608</v>
      </c>
      <c r="B275" s="766">
        <f>'Weight sheet'!C228</f>
        <v>4199361</v>
      </c>
      <c r="C275" s="766">
        <f>'Weight sheet'!D228</f>
        <v>52248</v>
      </c>
      <c r="D275" s="881">
        <f>'Weight sheet'!F228</f>
        <v>1</v>
      </c>
      <c r="E275" s="869">
        <f>'Weight sheet'!H228</f>
        <v>29.5</v>
      </c>
      <c r="F275" s="130">
        <f t="shared" si="74"/>
        <v>29.5</v>
      </c>
      <c r="G275" s="307">
        <v>38.625</v>
      </c>
      <c r="H275" s="130">
        <f t="shared" si="75"/>
        <v>98.1075</v>
      </c>
      <c r="I275" s="98">
        <f t="shared" si="76"/>
        <v>2894.17125</v>
      </c>
      <c r="J275" s="279">
        <v>0</v>
      </c>
      <c r="K275" s="98">
        <f t="shared" si="77"/>
        <v>0</v>
      </c>
      <c r="L275" s="280">
        <f t="shared" si="78"/>
        <v>38.625</v>
      </c>
      <c r="M275" s="130">
        <f t="shared" si="79"/>
        <v>98.1075</v>
      </c>
      <c r="N275" s="98">
        <f t="shared" si="80"/>
        <v>0</v>
      </c>
      <c r="O275" s="281">
        <v>3.5</v>
      </c>
      <c r="P275" s="130">
        <f t="shared" si="81"/>
        <v>8.89</v>
      </c>
      <c r="Q275" s="98">
        <f t="shared" si="82"/>
        <v>262.255</v>
      </c>
      <c r="R275" s="130">
        <f t="shared" si="83"/>
        <v>0</v>
      </c>
      <c r="V275" s="98"/>
    </row>
    <row r="276" spans="1:22" s="8" customFormat="1" ht="16.5" customHeight="1">
      <c r="A276" s="822" t="s">
        <v>609</v>
      </c>
      <c r="B276" s="766">
        <f>'Weight sheet'!C229</f>
        <v>4199362</v>
      </c>
      <c r="C276" s="766">
        <f>'Weight sheet'!D229</f>
        <v>52249</v>
      </c>
      <c r="D276" s="881">
        <f>'Weight sheet'!F229</f>
        <v>1</v>
      </c>
      <c r="E276" s="869">
        <f>'Weight sheet'!H229</f>
        <v>37.8</v>
      </c>
      <c r="F276" s="130">
        <f t="shared" si="74"/>
        <v>37.8</v>
      </c>
      <c r="G276" s="307">
        <v>38.625</v>
      </c>
      <c r="H276" s="130">
        <f t="shared" si="75"/>
        <v>98.1075</v>
      </c>
      <c r="I276" s="98">
        <f t="shared" si="76"/>
        <v>3708.4635</v>
      </c>
      <c r="J276" s="279">
        <v>0</v>
      </c>
      <c r="K276" s="98">
        <f t="shared" si="77"/>
        <v>0</v>
      </c>
      <c r="L276" s="280">
        <f t="shared" si="78"/>
        <v>38.625</v>
      </c>
      <c r="M276" s="130">
        <f t="shared" si="79"/>
        <v>98.1075</v>
      </c>
      <c r="N276" s="98">
        <f t="shared" si="80"/>
        <v>0</v>
      </c>
      <c r="O276" s="281">
        <v>3.5</v>
      </c>
      <c r="P276" s="130">
        <f t="shared" si="81"/>
        <v>8.89</v>
      </c>
      <c r="Q276" s="98">
        <f t="shared" si="82"/>
        <v>336.042</v>
      </c>
      <c r="R276" s="130">
        <f t="shared" si="83"/>
        <v>0</v>
      </c>
      <c r="V276" s="98"/>
    </row>
    <row r="277" spans="1:27" s="195" customFormat="1" ht="33" customHeight="1">
      <c r="A277" s="805" t="s">
        <v>610</v>
      </c>
      <c r="B277" s="766">
        <f>'Weight sheet'!C230</f>
        <v>4199407</v>
      </c>
      <c r="C277" s="766">
        <f>'Weight sheet'!D230</f>
        <v>52368</v>
      </c>
      <c r="D277" s="881">
        <f>'Weight sheet'!F230</f>
        <v>1</v>
      </c>
      <c r="E277" s="869">
        <f>'Weight sheet'!H230</f>
        <v>288.1</v>
      </c>
      <c r="F277" s="130">
        <f t="shared" si="74"/>
        <v>288.1</v>
      </c>
      <c r="G277" s="278">
        <v>47.864</v>
      </c>
      <c r="H277" s="130">
        <f t="shared" si="75"/>
        <v>121.57455999999999</v>
      </c>
      <c r="I277" s="98">
        <f t="shared" si="76"/>
        <v>35025.630736</v>
      </c>
      <c r="J277" s="209">
        <v>184.027</v>
      </c>
      <c r="K277" s="98">
        <f t="shared" si="77"/>
        <v>184.027</v>
      </c>
      <c r="L277" s="280">
        <f t="shared" si="78"/>
        <v>47.864</v>
      </c>
      <c r="M277" s="130">
        <f t="shared" si="79"/>
        <v>121.57455999999999</v>
      </c>
      <c r="N277" s="98">
        <f t="shared" si="80"/>
        <v>22373.001553119997</v>
      </c>
      <c r="O277" s="281">
        <v>7.058</v>
      </c>
      <c r="P277" s="130">
        <f t="shared" si="81"/>
        <v>17.927319999999998</v>
      </c>
      <c r="Q277" s="98">
        <f t="shared" si="82"/>
        <v>5164.860892</v>
      </c>
      <c r="R277" s="130">
        <f t="shared" si="83"/>
        <v>3299.1109176399996</v>
      </c>
      <c r="S277" s="8"/>
      <c r="T277" s="8"/>
      <c r="U277" s="8"/>
      <c r="V277" s="196"/>
      <c r="W277" s="8"/>
      <c r="X277" s="8"/>
      <c r="Z277" s="8"/>
      <c r="AA277" s="8"/>
    </row>
    <row r="278" spans="1:22" s="8" customFormat="1" ht="16.5" customHeight="1">
      <c r="A278" s="822" t="s">
        <v>88</v>
      </c>
      <c r="B278" s="766" t="str">
        <f>'Weight sheet'!C232</f>
        <v>4205807 / 4205810 / 2601 / 4205785 / 4205787 / 4205808 / 4205809</v>
      </c>
      <c r="C278" s="766" t="str">
        <f>'Weight sheet'!D232</f>
        <v>-</v>
      </c>
      <c r="D278" s="881">
        <f>'Weight sheet'!F232</f>
        <v>1</v>
      </c>
      <c r="E278" s="869">
        <f>'Weight sheet'!H232</f>
        <v>84.7</v>
      </c>
      <c r="F278" s="130">
        <f t="shared" si="74"/>
        <v>84.7</v>
      </c>
      <c r="G278" s="278">
        <v>43.9</v>
      </c>
      <c r="H278" s="130">
        <f t="shared" si="75"/>
        <v>111.506</v>
      </c>
      <c r="I278" s="98">
        <f t="shared" si="76"/>
        <v>9444.5582</v>
      </c>
      <c r="J278" s="279">
        <v>0</v>
      </c>
      <c r="K278" s="98">
        <f t="shared" si="77"/>
        <v>0</v>
      </c>
      <c r="L278" s="280">
        <f t="shared" si="78"/>
        <v>43.9</v>
      </c>
      <c r="M278" s="130">
        <f t="shared" si="79"/>
        <v>111.506</v>
      </c>
      <c r="N278" s="98">
        <f t="shared" si="80"/>
        <v>0</v>
      </c>
      <c r="O278" s="281">
        <v>0</v>
      </c>
      <c r="P278" s="130">
        <f t="shared" si="81"/>
        <v>0</v>
      </c>
      <c r="Q278" s="98">
        <f t="shared" si="82"/>
        <v>0</v>
      </c>
      <c r="R278" s="130">
        <f t="shared" si="83"/>
        <v>0</v>
      </c>
      <c r="V278" s="98"/>
    </row>
    <row r="279" spans="1:22" s="8" customFormat="1" ht="16.5" customHeight="1">
      <c r="A279" s="777"/>
      <c r="B279" s="826"/>
      <c r="C279" s="827"/>
      <c r="D279" s="794"/>
      <c r="E279" s="828"/>
      <c r="F279" s="781"/>
      <c r="G279" s="795"/>
      <c r="H279" s="781"/>
      <c r="I279" s="796"/>
      <c r="J279" s="797"/>
      <c r="K279" s="781"/>
      <c r="L279" s="798"/>
      <c r="M279" s="781"/>
      <c r="N279" s="796"/>
      <c r="O279" s="799"/>
      <c r="P279" s="781"/>
      <c r="Q279" s="796"/>
      <c r="R279" s="781"/>
      <c r="V279" s="98"/>
    </row>
    <row r="280" spans="1:22" s="8" customFormat="1" ht="16.5" customHeight="1">
      <c r="A280" s="322"/>
      <c r="B280" s="322"/>
      <c r="C280" s="560"/>
      <c r="D280" s="565"/>
      <c r="E280" s="566"/>
      <c r="F280" s="323"/>
      <c r="G280" s="324"/>
      <c r="H280" s="323"/>
      <c r="I280" s="325"/>
      <c r="J280" s="326"/>
      <c r="K280" s="325"/>
      <c r="L280" s="327"/>
      <c r="M280" s="323"/>
      <c r="N280" s="325"/>
      <c r="O280" s="328"/>
      <c r="P280" s="323"/>
      <c r="Q280" s="325"/>
      <c r="R280" s="323"/>
      <c r="V280" s="98"/>
    </row>
    <row r="281" spans="1:22" s="8" customFormat="1" ht="16.5" customHeight="1">
      <c r="A281" s="135"/>
      <c r="B281" s="135"/>
      <c r="C281" s="518"/>
      <c r="D281" s="522"/>
      <c r="E281" s="516"/>
      <c r="F281" s="103" t="s">
        <v>692</v>
      </c>
      <c r="G281" s="103"/>
      <c r="I281" s="103" t="s">
        <v>693</v>
      </c>
      <c r="J281" s="177"/>
      <c r="N281" s="103" t="s">
        <v>693</v>
      </c>
      <c r="O281" s="178"/>
      <c r="Q281" s="103" t="s">
        <v>693</v>
      </c>
      <c r="R281" s="103" t="s">
        <v>693</v>
      </c>
      <c r="V281" s="98"/>
    </row>
    <row r="282" spans="1:22" s="8" customFormat="1" ht="16.5" customHeight="1">
      <c r="A282" s="135"/>
      <c r="B282" s="135"/>
      <c r="C282" s="518"/>
      <c r="D282" s="524" t="s">
        <v>694</v>
      </c>
      <c r="E282" s="525" t="s">
        <v>833</v>
      </c>
      <c r="F282" s="181" t="s">
        <v>833</v>
      </c>
      <c r="G282" s="182" t="s">
        <v>834</v>
      </c>
      <c r="H282" s="103" t="s">
        <v>834</v>
      </c>
      <c r="I282" s="103" t="s">
        <v>834</v>
      </c>
      <c r="J282" s="183" t="s">
        <v>835</v>
      </c>
      <c r="K282" s="103" t="s">
        <v>836</v>
      </c>
      <c r="L282" s="182" t="s">
        <v>837</v>
      </c>
      <c r="M282" s="103" t="s">
        <v>837</v>
      </c>
      <c r="N282" s="103" t="s">
        <v>837</v>
      </c>
      <c r="O282" s="184" t="s">
        <v>698</v>
      </c>
      <c r="P282" s="103" t="s">
        <v>699</v>
      </c>
      <c r="Q282" s="103" t="s">
        <v>698</v>
      </c>
      <c r="R282" s="103" t="s">
        <v>699</v>
      </c>
      <c r="V282" s="98"/>
    </row>
    <row r="283" spans="1:22" s="8" customFormat="1" ht="16.5" customHeight="1" thickBot="1">
      <c r="A283" s="135"/>
      <c r="B283" s="135"/>
      <c r="C283" s="518"/>
      <c r="D283" s="526"/>
      <c r="E283" s="527" t="s">
        <v>702</v>
      </c>
      <c r="F283" s="185" t="s">
        <v>702</v>
      </c>
      <c r="G283" s="188" t="s">
        <v>703</v>
      </c>
      <c r="H283" s="185" t="s">
        <v>814</v>
      </c>
      <c r="I283" s="185" t="s">
        <v>704</v>
      </c>
      <c r="J283" s="189" t="s">
        <v>957</v>
      </c>
      <c r="K283" s="185" t="s">
        <v>957</v>
      </c>
      <c r="L283" s="188" t="s">
        <v>703</v>
      </c>
      <c r="M283" s="185" t="s">
        <v>814</v>
      </c>
      <c r="N283" s="185" t="s">
        <v>705</v>
      </c>
      <c r="O283" s="190" t="s">
        <v>814</v>
      </c>
      <c r="P283" s="185" t="s">
        <v>814</v>
      </c>
      <c r="Q283" s="185" t="s">
        <v>704</v>
      </c>
      <c r="R283" s="185" t="s">
        <v>705</v>
      </c>
      <c r="V283" s="98"/>
    </row>
    <row r="284" spans="1:19" s="8" customFormat="1" ht="16.5" customHeight="1" thickTop="1">
      <c r="A284" s="223" t="s">
        <v>611</v>
      </c>
      <c r="B284" s="764">
        <f>'Weight sheet'!C234</f>
        <v>4199448</v>
      </c>
      <c r="C284" s="764">
        <f>'Weight sheet'!D234</f>
        <v>56768</v>
      </c>
      <c r="D284" s="765"/>
      <c r="E284" s="558"/>
      <c r="F284" s="115"/>
      <c r="G284" s="115"/>
      <c r="H284" s="122"/>
      <c r="I284" s="329"/>
      <c r="J284" s="273"/>
      <c r="K284" s="205"/>
      <c r="L284" s="273"/>
      <c r="M284" s="273"/>
      <c r="N284" s="330"/>
      <c r="O284" s="194"/>
      <c r="S284" s="98"/>
    </row>
    <row r="285" spans="2:30" s="109" customFormat="1" ht="16.5" customHeight="1">
      <c r="B285" s="791" t="s">
        <v>708</v>
      </c>
      <c r="C285" s="875">
        <f>'Weight sheet'!H236</f>
        <v>14074</v>
      </c>
      <c r="D285" s="801" t="s">
        <v>986</v>
      </c>
      <c r="E285" s="567">
        <f>C285</f>
        <v>14074</v>
      </c>
      <c r="F285" s="331">
        <f>E285-(F287+F288)</f>
        <v>2524.1000000000004</v>
      </c>
      <c r="H285" s="331">
        <v>70.656</v>
      </c>
      <c r="I285" s="332">
        <f>F285*H285</f>
        <v>178342.80960000004</v>
      </c>
      <c r="K285" s="333">
        <v>2669.8</v>
      </c>
      <c r="M285" s="331">
        <v>70.2</v>
      </c>
      <c r="N285" s="332">
        <f>K285*M285</f>
        <v>187419.96000000002</v>
      </c>
      <c r="O285" s="331">
        <v>-0.57</v>
      </c>
      <c r="P285" s="331">
        <v>0</v>
      </c>
      <c r="Q285" s="331">
        <f>F285*O285</f>
        <v>-1438.737</v>
      </c>
      <c r="R285" s="331">
        <f>K285*P285</f>
        <v>0</v>
      </c>
      <c r="S285"/>
      <c r="T285"/>
      <c r="U285"/>
      <c r="V285"/>
      <c r="W285"/>
      <c r="X285"/>
      <c r="Y285"/>
      <c r="Z285"/>
      <c r="AA285"/>
      <c r="AB285"/>
      <c r="AC285"/>
      <c r="AD285"/>
    </row>
    <row r="286" spans="1:19" s="109" customFormat="1" ht="16.5" customHeight="1">
      <c r="A286" s="132" t="s">
        <v>612</v>
      </c>
      <c r="C286" s="555"/>
      <c r="D286" s="563"/>
      <c r="E286" s="568"/>
      <c r="F286" s="333"/>
      <c r="H286" s="333"/>
      <c r="I286" s="334"/>
      <c r="K286" s="335"/>
      <c r="M286" s="336"/>
      <c r="N286" s="334"/>
      <c r="O286" s="336"/>
      <c r="P286" s="336"/>
      <c r="Q286" s="336"/>
      <c r="R286" s="337"/>
      <c r="S286" s="132"/>
    </row>
    <row r="287" spans="1:19" s="109" customFormat="1" ht="16.5" customHeight="1">
      <c r="A287" s="829" t="s">
        <v>153</v>
      </c>
      <c r="B287" s="762" t="str">
        <f>'Weight sheet'!C238</f>
        <v>too many to record</v>
      </c>
      <c r="C287" s="762">
        <f>'Weight sheet'!D238</f>
        <v>56759</v>
      </c>
      <c r="D287" s="881">
        <f>'Weight sheet'!F239</f>
        <v>0</v>
      </c>
      <c r="E287" s="876">
        <f>'Weight sheet'!H239</f>
        <v>1825.9</v>
      </c>
      <c r="F287" s="331">
        <f>E287</f>
        <v>1825.9</v>
      </c>
      <c r="H287" s="331">
        <f>82.634+C27*Cal!D16</f>
        <v>91.6140727922596</v>
      </c>
      <c r="I287" s="332">
        <f>F287*H287</f>
        <v>167278.13551138682</v>
      </c>
      <c r="K287" s="331">
        <v>0</v>
      </c>
      <c r="M287" s="331">
        <f>H287</f>
        <v>91.6140727922596</v>
      </c>
      <c r="N287" s="332">
        <f>K287*M287</f>
        <v>0</v>
      </c>
      <c r="O287" s="331">
        <v>-6.751</v>
      </c>
      <c r="P287" s="331">
        <v>0</v>
      </c>
      <c r="Q287" s="331">
        <f>F287*O287</f>
        <v>-12326.6509</v>
      </c>
      <c r="R287" s="331">
        <f>K287*P287</f>
        <v>0</v>
      </c>
      <c r="S287" s="132"/>
    </row>
    <row r="288" spans="1:19" s="109" customFormat="1" ht="16.5" customHeight="1">
      <c r="A288" s="829" t="s">
        <v>613</v>
      </c>
      <c r="B288" s="762">
        <f>'Weight sheet'!C240</f>
        <v>4199485</v>
      </c>
      <c r="C288" s="762">
        <f>'Weight sheet'!D240</f>
        <v>56831</v>
      </c>
      <c r="D288" s="881">
        <f>'Weight sheet'!F240</f>
        <v>1</v>
      </c>
      <c r="E288" s="876">
        <f>'Weight sheet'!H240</f>
        <v>9724</v>
      </c>
      <c r="F288" s="331">
        <f>E288</f>
        <v>9724</v>
      </c>
      <c r="H288" s="331">
        <f>83.413+C27*Cal!D16</f>
        <v>92.3930727922596</v>
      </c>
      <c r="I288" s="332">
        <f>F288*H288</f>
        <v>898430.2398319324</v>
      </c>
      <c r="K288" s="331">
        <v>0</v>
      </c>
      <c r="M288" s="331">
        <f>H288</f>
        <v>92.3930727922596</v>
      </c>
      <c r="N288" s="332">
        <f>K288*M288</f>
        <v>0</v>
      </c>
      <c r="O288" s="331">
        <v>-0.02</v>
      </c>
      <c r="P288" s="331">
        <f>O288</f>
        <v>-0.02</v>
      </c>
      <c r="Q288" s="331">
        <f>F288*O288</f>
        <v>-194.48000000000002</v>
      </c>
      <c r="R288" s="331">
        <f>K288*P288</f>
        <v>0</v>
      </c>
      <c r="S288" s="132"/>
    </row>
    <row r="289" spans="3:19" s="109" customFormat="1" ht="15.75" customHeight="1">
      <c r="C289" s="544"/>
      <c r="D289" s="532"/>
      <c r="E289" s="569"/>
      <c r="F289" s="331"/>
      <c r="G289" s="331"/>
      <c r="H289" s="331"/>
      <c r="I289" s="332"/>
      <c r="J289" s="331"/>
      <c r="K289" s="331"/>
      <c r="L289" s="331"/>
      <c r="M289" s="331"/>
      <c r="N289" s="332"/>
      <c r="O289" s="331"/>
      <c r="S289" s="132"/>
    </row>
    <row r="290" spans="3:19" s="109" customFormat="1" ht="15.75" customHeight="1">
      <c r="C290" s="519"/>
      <c r="D290" s="532"/>
      <c r="E290" s="569"/>
      <c r="F290" s="331"/>
      <c r="G290" s="331"/>
      <c r="H290" s="331"/>
      <c r="I290" s="332"/>
      <c r="J290" s="331"/>
      <c r="K290" s="331"/>
      <c r="L290" s="331"/>
      <c r="M290" s="331"/>
      <c r="N290" s="332"/>
      <c r="O290" s="331"/>
      <c r="S290" s="132"/>
    </row>
    <row r="291" spans="3:19" s="109" customFormat="1" ht="15.75" customHeight="1">
      <c r="C291" s="519"/>
      <c r="D291" s="532"/>
      <c r="E291" s="569"/>
      <c r="F291" s="331"/>
      <c r="G291" s="331"/>
      <c r="H291" s="331"/>
      <c r="I291" s="332"/>
      <c r="J291" s="331"/>
      <c r="K291" s="331"/>
      <c r="L291" s="331"/>
      <c r="M291" s="331"/>
      <c r="N291" s="332"/>
      <c r="O291" s="331"/>
      <c r="S291" s="132"/>
    </row>
    <row r="292" spans="1:19" s="8" customFormat="1" ht="16.5" customHeight="1">
      <c r="A292" s="305"/>
      <c r="B292" s="99"/>
      <c r="C292" s="770"/>
      <c r="D292" s="565"/>
      <c r="E292" s="566"/>
      <c r="F292" s="323"/>
      <c r="G292" s="323"/>
      <c r="H292" s="325"/>
      <c r="I292" s="338"/>
      <c r="J292" s="323"/>
      <c r="K292" s="325"/>
      <c r="L292" s="323"/>
      <c r="M292" s="323"/>
      <c r="N292" s="338"/>
      <c r="O292" s="323"/>
      <c r="P292" s="305"/>
      <c r="Q292" s="305"/>
      <c r="R292" s="305"/>
      <c r="S292" s="98"/>
    </row>
    <row r="293" spans="1:22" s="99" customFormat="1" ht="16.5" customHeight="1">
      <c r="A293" s="223" t="s">
        <v>614</v>
      </c>
      <c r="B293" s="764">
        <f>'Weight sheet'!C252</f>
        <v>4199398</v>
      </c>
      <c r="C293" s="764">
        <f>'Weight sheet'!D252</f>
        <v>52347</v>
      </c>
      <c r="D293" s="769"/>
      <c r="E293" s="545"/>
      <c r="F293" s="115"/>
      <c r="G293" s="339"/>
      <c r="H293" s="115"/>
      <c r="I293" s="122"/>
      <c r="J293" s="288"/>
      <c r="K293" s="122"/>
      <c r="L293" s="340"/>
      <c r="M293" s="115"/>
      <c r="N293" s="122"/>
      <c r="O293" s="281"/>
      <c r="P293" s="115"/>
      <c r="Q293" s="122"/>
      <c r="R293" s="115"/>
      <c r="V293" s="122"/>
    </row>
    <row r="294" spans="2:22" s="8" customFormat="1" ht="16.5" customHeight="1">
      <c r="B294" s="791" t="s">
        <v>865</v>
      </c>
      <c r="C294" s="792">
        <f>SUM(E297:E308)</f>
        <v>3984.4</v>
      </c>
      <c r="D294" s="801" t="s">
        <v>986</v>
      </c>
      <c r="E294" s="557" t="s">
        <v>955</v>
      </c>
      <c r="F294" s="10"/>
      <c r="G294" s="339"/>
      <c r="H294" s="115"/>
      <c r="I294" s="341"/>
      <c r="J294" s="288"/>
      <c r="K294" s="205"/>
      <c r="L294" s="340"/>
      <c r="M294" s="115"/>
      <c r="N294" s="122"/>
      <c r="O294" s="281"/>
      <c r="P294" s="115"/>
      <c r="Q294" s="122"/>
      <c r="R294" s="130"/>
      <c r="V294" s="98"/>
    </row>
    <row r="295" spans="2:22" s="8" customFormat="1" ht="16.5" customHeight="1">
      <c r="B295" s="791" t="s">
        <v>708</v>
      </c>
      <c r="C295" s="874">
        <f>'Weight sheet'!H254</f>
        <v>3993.3</v>
      </c>
      <c r="D295" s="801" t="s">
        <v>986</v>
      </c>
      <c r="E295" s="531">
        <f>C295-C294</f>
        <v>8.900000000000091</v>
      </c>
      <c r="F295" s="10"/>
      <c r="G295" s="339"/>
      <c r="H295" s="115"/>
      <c r="I295" s="341"/>
      <c r="J295" s="288"/>
      <c r="K295" s="205"/>
      <c r="L295" s="340"/>
      <c r="M295" s="115"/>
      <c r="N295" s="122"/>
      <c r="O295" s="281"/>
      <c r="P295" s="115"/>
      <c r="Q295" s="122"/>
      <c r="R295" s="130"/>
      <c r="V295" s="98"/>
    </row>
    <row r="296" spans="1:22" s="8" customFormat="1" ht="16.5" customHeight="1">
      <c r="A296" s="211"/>
      <c r="B296" s="211"/>
      <c r="C296" s="553"/>
      <c r="D296" s="529"/>
      <c r="E296" s="559"/>
      <c r="F296" s="10"/>
      <c r="G296" s="339"/>
      <c r="H296" s="115"/>
      <c r="I296" s="341"/>
      <c r="J296" s="288"/>
      <c r="K296" s="205"/>
      <c r="L296" s="340"/>
      <c r="M296" s="115"/>
      <c r="N296" s="122"/>
      <c r="O296" s="281"/>
      <c r="P296" s="115"/>
      <c r="Q296" s="122"/>
      <c r="R296" s="130"/>
      <c r="V296" s="98"/>
    </row>
    <row r="297" spans="1:22" s="8" customFormat="1" ht="16.5" customHeight="1">
      <c r="A297" s="806" t="s">
        <v>615</v>
      </c>
      <c r="B297" s="766">
        <f>'Weight sheet'!C256</f>
        <v>4199465</v>
      </c>
      <c r="C297" s="766">
        <f>'Weight sheet'!D256</f>
        <v>56785</v>
      </c>
      <c r="D297" s="881">
        <f>'Weight sheet'!F256</f>
        <v>1</v>
      </c>
      <c r="E297" s="869">
        <f>'Weight sheet'!H256</f>
        <v>61.2</v>
      </c>
      <c r="F297" s="130">
        <f aca="true" t="shared" si="84" ref="F297:F308">E297*D297</f>
        <v>61.2</v>
      </c>
      <c r="G297" s="278">
        <v>23.507</v>
      </c>
      <c r="H297" s="130">
        <f aca="true" t="shared" si="85" ref="H297:H308">G297*2.54</f>
        <v>59.70778000000001</v>
      </c>
      <c r="I297" s="98">
        <f aca="true" t="shared" si="86" ref="I297:I308">F297*H297</f>
        <v>3654.1161360000006</v>
      </c>
      <c r="J297" s="279">
        <v>0</v>
      </c>
      <c r="K297" s="98">
        <f aca="true" t="shared" si="87" ref="K297:K308">J297*D297</f>
        <v>0</v>
      </c>
      <c r="L297" s="280">
        <f aca="true" t="shared" si="88" ref="L297:L308">G297</f>
        <v>23.507</v>
      </c>
      <c r="M297" s="130">
        <f aca="true" t="shared" si="89" ref="M297:M308">L297*2.54</f>
        <v>59.70778000000001</v>
      </c>
      <c r="N297" s="98">
        <f aca="true" t="shared" si="90" ref="N297:N308">K297*M297</f>
        <v>0</v>
      </c>
      <c r="O297" s="281">
        <v>0</v>
      </c>
      <c r="P297" s="130">
        <f aca="true" t="shared" si="91" ref="P297:P308">O297*2.54</f>
        <v>0</v>
      </c>
      <c r="Q297" s="98">
        <f aca="true" t="shared" si="92" ref="Q297:Q308">F297*P297</f>
        <v>0</v>
      </c>
      <c r="R297" s="130">
        <f aca="true" t="shared" si="93" ref="R297:R308">K297*P297</f>
        <v>0</v>
      </c>
      <c r="V297" s="98"/>
    </row>
    <row r="298" spans="1:22" s="8" customFormat="1" ht="16.5" customHeight="1">
      <c r="A298" s="806" t="s">
        <v>616</v>
      </c>
      <c r="B298" s="766">
        <f>'Weight sheet'!C257</f>
        <v>4199499</v>
      </c>
      <c r="C298" s="766">
        <f>'Weight sheet'!D257</f>
        <v>57672</v>
      </c>
      <c r="D298" s="881">
        <f>'Weight sheet'!F257</f>
        <v>1</v>
      </c>
      <c r="E298" s="869">
        <f>'Weight sheet'!H257</f>
        <v>62</v>
      </c>
      <c r="F298" s="130">
        <f t="shared" si="84"/>
        <v>62</v>
      </c>
      <c r="G298" s="278">
        <v>23.507</v>
      </c>
      <c r="H298" s="130">
        <f t="shared" si="85"/>
        <v>59.70778000000001</v>
      </c>
      <c r="I298" s="98">
        <f t="shared" si="86"/>
        <v>3701.8823600000005</v>
      </c>
      <c r="J298" s="279">
        <v>0</v>
      </c>
      <c r="K298" s="98">
        <f t="shared" si="87"/>
        <v>0</v>
      </c>
      <c r="L298" s="280">
        <f t="shared" si="88"/>
        <v>23.507</v>
      </c>
      <c r="M298" s="130">
        <f t="shared" si="89"/>
        <v>59.70778000000001</v>
      </c>
      <c r="N298" s="98">
        <f t="shared" si="90"/>
        <v>0</v>
      </c>
      <c r="O298" s="281">
        <v>0</v>
      </c>
      <c r="P298" s="130">
        <f t="shared" si="91"/>
        <v>0</v>
      </c>
      <c r="Q298" s="98">
        <f t="shared" si="92"/>
        <v>0</v>
      </c>
      <c r="R298" s="130">
        <f t="shared" si="93"/>
        <v>0</v>
      </c>
      <c r="V298" s="98"/>
    </row>
    <row r="299" spans="1:22" s="109" customFormat="1" ht="33.75" customHeight="1">
      <c r="A299" s="805" t="s">
        <v>619</v>
      </c>
      <c r="B299" s="766">
        <f>'Weight sheet'!C258</f>
        <v>4199386</v>
      </c>
      <c r="C299" s="766">
        <f>'Weight sheet'!D258</f>
        <v>52290</v>
      </c>
      <c r="D299" s="881">
        <f>'Weight sheet'!F258</f>
        <v>1</v>
      </c>
      <c r="E299" s="869">
        <f>'Weight sheet'!H258</f>
        <v>261.9</v>
      </c>
      <c r="F299" s="208">
        <f t="shared" si="84"/>
        <v>261.9</v>
      </c>
      <c r="G299" s="225">
        <v>21.5</v>
      </c>
      <c r="H299" s="208">
        <f t="shared" si="85"/>
        <v>54.61</v>
      </c>
      <c r="I299" s="132">
        <f t="shared" si="86"/>
        <v>14302.358999999999</v>
      </c>
      <c r="J299" s="279">
        <v>0</v>
      </c>
      <c r="K299" s="132">
        <f t="shared" si="87"/>
        <v>0</v>
      </c>
      <c r="L299" s="227">
        <f t="shared" si="88"/>
        <v>21.5</v>
      </c>
      <c r="M299" s="208">
        <f t="shared" si="89"/>
        <v>54.61</v>
      </c>
      <c r="N299" s="98">
        <f t="shared" si="90"/>
        <v>0</v>
      </c>
      <c r="O299" s="210">
        <v>0.7</v>
      </c>
      <c r="P299" s="208">
        <f t="shared" si="91"/>
        <v>1.7779999999999998</v>
      </c>
      <c r="Q299" s="132">
        <f t="shared" si="92"/>
        <v>465.6581999999999</v>
      </c>
      <c r="R299" s="208">
        <f t="shared" si="93"/>
        <v>0</v>
      </c>
      <c r="V299" s="132"/>
    </row>
    <row r="300" spans="1:22" s="8" customFormat="1" ht="16.5" customHeight="1">
      <c r="A300" s="822" t="s">
        <v>620</v>
      </c>
      <c r="B300" s="766">
        <f>'Weight sheet'!C263</f>
        <v>4199408</v>
      </c>
      <c r="C300" s="766">
        <f>'Weight sheet'!D263</f>
        <v>52370</v>
      </c>
      <c r="D300" s="881">
        <f>'Weight sheet'!F263</f>
        <v>1</v>
      </c>
      <c r="E300" s="869">
        <f>'Weight sheet'!H263</f>
        <v>4.8</v>
      </c>
      <c r="F300" s="130">
        <f t="shared" si="84"/>
        <v>4.8</v>
      </c>
      <c r="G300" s="278">
        <v>21.73</v>
      </c>
      <c r="H300" s="130">
        <f t="shared" si="85"/>
        <v>55.1942</v>
      </c>
      <c r="I300" s="98">
        <f t="shared" si="86"/>
        <v>264.93216</v>
      </c>
      <c r="J300" s="279">
        <v>0</v>
      </c>
      <c r="K300" s="98">
        <f t="shared" si="87"/>
        <v>0</v>
      </c>
      <c r="L300" s="280">
        <f t="shared" si="88"/>
        <v>21.73</v>
      </c>
      <c r="M300" s="130">
        <f t="shared" si="89"/>
        <v>55.1942</v>
      </c>
      <c r="N300" s="98">
        <f t="shared" si="90"/>
        <v>0</v>
      </c>
      <c r="O300" s="281">
        <v>0.44</v>
      </c>
      <c r="P300" s="130">
        <f t="shared" si="91"/>
        <v>1.1176</v>
      </c>
      <c r="Q300" s="98">
        <f t="shared" si="92"/>
        <v>5.3644799999999995</v>
      </c>
      <c r="R300" s="130">
        <f t="shared" si="93"/>
        <v>0</v>
      </c>
      <c r="V300" s="98"/>
    </row>
    <row r="301" spans="1:22" s="8" customFormat="1" ht="16.5" customHeight="1">
      <c r="A301" s="806" t="s">
        <v>621</v>
      </c>
      <c r="B301" s="766">
        <f>'Weight sheet'!C264</f>
        <v>4146090</v>
      </c>
      <c r="C301" s="766">
        <f>'Weight sheet'!D264</f>
        <v>55209</v>
      </c>
      <c r="D301" s="881">
        <f>'Weight sheet'!F264</f>
        <v>1</v>
      </c>
      <c r="E301" s="869">
        <f>'Weight sheet'!H264</f>
        <v>4.5</v>
      </c>
      <c r="F301" s="130">
        <f t="shared" si="84"/>
        <v>4.5</v>
      </c>
      <c r="G301" s="278">
        <v>21.5</v>
      </c>
      <c r="H301" s="130">
        <f t="shared" si="85"/>
        <v>54.61</v>
      </c>
      <c r="I301" s="98">
        <f t="shared" si="86"/>
        <v>245.745</v>
      </c>
      <c r="J301" s="279">
        <v>0</v>
      </c>
      <c r="K301" s="98">
        <f t="shared" si="87"/>
        <v>0</v>
      </c>
      <c r="L301" s="280">
        <f t="shared" si="88"/>
        <v>21.5</v>
      </c>
      <c r="M301" s="130">
        <f t="shared" si="89"/>
        <v>54.61</v>
      </c>
      <c r="N301" s="98">
        <f t="shared" si="90"/>
        <v>0</v>
      </c>
      <c r="O301" s="281">
        <v>0.5</v>
      </c>
      <c r="P301" s="130">
        <f t="shared" si="91"/>
        <v>1.27</v>
      </c>
      <c r="Q301" s="98">
        <f t="shared" si="92"/>
        <v>5.715</v>
      </c>
      <c r="R301" s="130">
        <f t="shared" si="93"/>
        <v>0</v>
      </c>
      <c r="V301" s="98"/>
    </row>
    <row r="302" spans="1:22" s="109" customFormat="1" ht="63" customHeight="1">
      <c r="A302" s="805" t="s">
        <v>622</v>
      </c>
      <c r="B302" s="766">
        <f>'Weight sheet'!C265</f>
        <v>4199370</v>
      </c>
      <c r="C302" s="766">
        <f>'Weight sheet'!D265</f>
        <v>52257</v>
      </c>
      <c r="D302" s="881">
        <f>'Weight sheet'!F265</f>
        <v>1</v>
      </c>
      <c r="E302" s="869">
        <f>'Weight sheet'!H265</f>
        <v>583.7</v>
      </c>
      <c r="F302" s="208">
        <f t="shared" si="84"/>
        <v>583.7</v>
      </c>
      <c r="G302" s="225">
        <v>21.5</v>
      </c>
      <c r="H302" s="208">
        <f t="shared" si="85"/>
        <v>54.61</v>
      </c>
      <c r="I302" s="132">
        <f t="shared" si="86"/>
        <v>31875.857000000004</v>
      </c>
      <c r="J302" s="279">
        <v>0</v>
      </c>
      <c r="K302" s="132">
        <f t="shared" si="87"/>
        <v>0</v>
      </c>
      <c r="L302" s="227">
        <f t="shared" si="88"/>
        <v>21.5</v>
      </c>
      <c r="M302" s="208">
        <f t="shared" si="89"/>
        <v>54.61</v>
      </c>
      <c r="N302" s="98">
        <f t="shared" si="90"/>
        <v>0</v>
      </c>
      <c r="O302" s="210">
        <v>-0.43</v>
      </c>
      <c r="P302" s="208">
        <f t="shared" si="91"/>
        <v>-1.0922</v>
      </c>
      <c r="Q302" s="132">
        <f t="shared" si="92"/>
        <v>-637.51714</v>
      </c>
      <c r="R302" s="208">
        <f t="shared" si="93"/>
        <v>0</v>
      </c>
      <c r="V302" s="132"/>
    </row>
    <row r="303" spans="1:22" s="8" customFormat="1" ht="16.5" customHeight="1">
      <c r="A303" s="806" t="s">
        <v>623</v>
      </c>
      <c r="B303" s="766">
        <f>'Weight sheet'!C270</f>
        <v>4146090</v>
      </c>
      <c r="C303" s="766">
        <f>'Weight sheet'!D270</f>
        <v>55209</v>
      </c>
      <c r="D303" s="881">
        <f>'Weight sheet'!F270</f>
        <v>1</v>
      </c>
      <c r="E303" s="869">
        <f>'Weight sheet'!H270</f>
        <v>4.5</v>
      </c>
      <c r="F303" s="130">
        <f t="shared" si="84"/>
        <v>4.5</v>
      </c>
      <c r="G303" s="278">
        <v>21.48</v>
      </c>
      <c r="H303" s="130">
        <f t="shared" si="85"/>
        <v>54.559200000000004</v>
      </c>
      <c r="I303" s="98">
        <f t="shared" si="86"/>
        <v>245.51640000000003</v>
      </c>
      <c r="J303" s="279">
        <v>0</v>
      </c>
      <c r="K303" s="98">
        <f t="shared" si="87"/>
        <v>0</v>
      </c>
      <c r="L303" s="280">
        <f t="shared" si="88"/>
        <v>21.48</v>
      </c>
      <c r="M303" s="130">
        <f t="shared" si="89"/>
        <v>54.559200000000004</v>
      </c>
      <c r="N303" s="98">
        <f t="shared" si="90"/>
        <v>0</v>
      </c>
      <c r="O303" s="281">
        <v>-0.43</v>
      </c>
      <c r="P303" s="130">
        <f t="shared" si="91"/>
        <v>-1.0922</v>
      </c>
      <c r="Q303" s="98">
        <f t="shared" si="92"/>
        <v>-4.9149</v>
      </c>
      <c r="R303" s="130">
        <f t="shared" si="93"/>
        <v>0</v>
      </c>
      <c r="V303" s="98"/>
    </row>
    <row r="304" spans="1:27" s="283" customFormat="1" ht="49.5" customHeight="1">
      <c r="A304" s="805" t="s">
        <v>521</v>
      </c>
      <c r="B304" s="767">
        <f>'Weight sheet'!C271</f>
        <v>4199389</v>
      </c>
      <c r="C304" s="768">
        <v>52324</v>
      </c>
      <c r="D304" s="881">
        <f>'Weight sheet'!F271</f>
        <v>1</v>
      </c>
      <c r="E304" s="869">
        <f>'Weight sheet'!H271</f>
        <v>280</v>
      </c>
      <c r="F304" s="130">
        <f t="shared" si="84"/>
        <v>280</v>
      </c>
      <c r="G304" s="225">
        <v>21.6</v>
      </c>
      <c r="H304" s="208">
        <f t="shared" si="85"/>
        <v>54.864000000000004</v>
      </c>
      <c r="I304" s="132">
        <f t="shared" si="86"/>
        <v>15361.920000000002</v>
      </c>
      <c r="J304" s="279">
        <v>0</v>
      </c>
      <c r="K304" s="132">
        <f t="shared" si="87"/>
        <v>0</v>
      </c>
      <c r="L304" s="227">
        <f t="shared" si="88"/>
        <v>21.6</v>
      </c>
      <c r="M304" s="208">
        <f t="shared" si="89"/>
        <v>54.864000000000004</v>
      </c>
      <c r="N304" s="98">
        <f t="shared" si="90"/>
        <v>0</v>
      </c>
      <c r="O304" s="210">
        <v>1.9</v>
      </c>
      <c r="P304" s="208">
        <f t="shared" si="91"/>
        <v>4.826</v>
      </c>
      <c r="Q304" s="132">
        <f t="shared" si="92"/>
        <v>1351.28</v>
      </c>
      <c r="R304" s="208">
        <f t="shared" si="93"/>
        <v>0</v>
      </c>
      <c r="S304" s="109"/>
      <c r="T304" s="109"/>
      <c r="U304" s="109"/>
      <c r="V304" s="284"/>
      <c r="W304" s="109"/>
      <c r="X304" s="109"/>
      <c r="Z304" s="109"/>
      <c r="AA304" s="109"/>
    </row>
    <row r="305" spans="1:22" s="109" customFormat="1" ht="16.5" customHeight="1">
      <c r="A305" s="806" t="s">
        <v>522</v>
      </c>
      <c r="B305" s="766" t="str">
        <f>'Weight sheet'!C276</f>
        <v>4146090 / 4199122</v>
      </c>
      <c r="C305" s="766" t="str">
        <f>'Weight sheet'!D276</f>
        <v>55209 / 55217</v>
      </c>
      <c r="D305" s="881">
        <f>'Weight sheet'!F276</f>
        <v>1</v>
      </c>
      <c r="E305" s="869">
        <f>'Weight sheet'!H276</f>
        <v>3.4</v>
      </c>
      <c r="F305" s="130">
        <f t="shared" si="84"/>
        <v>3.4</v>
      </c>
      <c r="G305" s="225">
        <v>20.77</v>
      </c>
      <c r="H305" s="208">
        <f t="shared" si="85"/>
        <v>52.7558</v>
      </c>
      <c r="I305" s="132">
        <f t="shared" si="86"/>
        <v>179.36972</v>
      </c>
      <c r="J305" s="279">
        <v>0</v>
      </c>
      <c r="K305" s="132">
        <f t="shared" si="87"/>
        <v>0</v>
      </c>
      <c r="L305" s="227">
        <f t="shared" si="88"/>
        <v>20.77</v>
      </c>
      <c r="M305" s="208">
        <f t="shared" si="89"/>
        <v>52.7558</v>
      </c>
      <c r="N305" s="98">
        <f t="shared" si="90"/>
        <v>0</v>
      </c>
      <c r="O305" s="210">
        <v>0.29</v>
      </c>
      <c r="P305" s="208">
        <f t="shared" si="91"/>
        <v>0.7365999999999999</v>
      </c>
      <c r="Q305" s="132">
        <f t="shared" si="92"/>
        <v>2.5044399999999998</v>
      </c>
      <c r="R305" s="208">
        <f t="shared" si="93"/>
        <v>0</v>
      </c>
      <c r="V305" s="132"/>
    </row>
    <row r="306" spans="1:22" s="8" customFormat="1" ht="16.5" customHeight="1">
      <c r="A306" s="806" t="s">
        <v>524</v>
      </c>
      <c r="B306" s="766">
        <f>'Weight sheet'!C277</f>
        <v>4199484</v>
      </c>
      <c r="C306" s="766">
        <f>'Weight sheet'!D277</f>
        <v>56830</v>
      </c>
      <c r="D306" s="881">
        <f>'Weight sheet'!F277</f>
        <v>1</v>
      </c>
      <c r="E306" s="869">
        <f>'Weight sheet'!H277</f>
        <v>2640.8</v>
      </c>
      <c r="F306" s="130">
        <f t="shared" si="84"/>
        <v>2640.8</v>
      </c>
      <c r="G306" s="278">
        <v>21.6</v>
      </c>
      <c r="H306" s="130">
        <f t="shared" si="85"/>
        <v>54.864000000000004</v>
      </c>
      <c r="I306" s="98">
        <f t="shared" si="86"/>
        <v>144884.85120000003</v>
      </c>
      <c r="J306" s="279">
        <v>0</v>
      </c>
      <c r="K306" s="98">
        <f t="shared" si="87"/>
        <v>0</v>
      </c>
      <c r="L306" s="280">
        <f t="shared" si="88"/>
        <v>21.6</v>
      </c>
      <c r="M306" s="130">
        <f t="shared" si="89"/>
        <v>54.864000000000004</v>
      </c>
      <c r="N306" s="98">
        <f t="shared" si="90"/>
        <v>0</v>
      </c>
      <c r="O306" s="281">
        <v>-1.81</v>
      </c>
      <c r="P306" s="130">
        <f t="shared" si="91"/>
        <v>-4.5974</v>
      </c>
      <c r="Q306" s="98">
        <f t="shared" si="92"/>
        <v>-12140.813920000002</v>
      </c>
      <c r="R306" s="130">
        <f t="shared" si="93"/>
        <v>0</v>
      </c>
      <c r="V306" s="98"/>
    </row>
    <row r="307" spans="1:27" s="195" customFormat="1" ht="16.5" customHeight="1">
      <c r="A307" s="806" t="s">
        <v>525</v>
      </c>
      <c r="B307" s="766">
        <f>'Weight sheet'!C279</f>
        <v>4199335</v>
      </c>
      <c r="C307" s="766">
        <f>'Weight sheet'!D279</f>
        <v>49847</v>
      </c>
      <c r="D307" s="881">
        <f>'Weight sheet'!F279</f>
        <v>1</v>
      </c>
      <c r="E307" s="869">
        <f>'Weight sheet'!H279</f>
        <v>72.4</v>
      </c>
      <c r="F307" s="130">
        <f t="shared" si="84"/>
        <v>72.4</v>
      </c>
      <c r="G307" s="278">
        <v>21.6</v>
      </c>
      <c r="H307" s="130">
        <f t="shared" si="85"/>
        <v>54.864000000000004</v>
      </c>
      <c r="I307" s="98">
        <f t="shared" si="86"/>
        <v>3972.1536000000006</v>
      </c>
      <c r="J307" s="279">
        <v>0</v>
      </c>
      <c r="K307" s="98">
        <f t="shared" si="87"/>
        <v>0</v>
      </c>
      <c r="L307" s="280">
        <f t="shared" si="88"/>
        <v>21.6</v>
      </c>
      <c r="M307" s="130">
        <f t="shared" si="89"/>
        <v>54.864000000000004</v>
      </c>
      <c r="N307" s="98">
        <f t="shared" si="90"/>
        <v>0</v>
      </c>
      <c r="O307" s="281">
        <v>-1.64</v>
      </c>
      <c r="P307" s="130">
        <f t="shared" si="91"/>
        <v>-4.1655999999999995</v>
      </c>
      <c r="Q307" s="98">
        <f t="shared" si="92"/>
        <v>-301.58943999999997</v>
      </c>
      <c r="R307" s="130">
        <f t="shared" si="93"/>
        <v>0</v>
      </c>
      <c r="S307" s="8"/>
      <c r="T307" s="8"/>
      <c r="U307" s="8"/>
      <c r="V307" s="196"/>
      <c r="W307" s="8"/>
      <c r="X307" s="8"/>
      <c r="Z307" s="8"/>
      <c r="AA307" s="8"/>
    </row>
    <row r="308" spans="1:22" s="8" customFormat="1" ht="16.5" customHeight="1">
      <c r="A308" s="806" t="s">
        <v>526</v>
      </c>
      <c r="B308" s="766" t="str">
        <f>'Weight sheet'!C280</f>
        <v>4146090 / 4199122</v>
      </c>
      <c r="C308" s="766" t="str">
        <f>'Weight sheet'!D280</f>
        <v>55209 / 55217</v>
      </c>
      <c r="D308" s="881">
        <f>'Weight sheet'!F280</f>
        <v>1</v>
      </c>
      <c r="E308" s="869">
        <f>'Weight sheet'!H280</f>
        <v>5.2</v>
      </c>
      <c r="F308" s="130">
        <f t="shared" si="84"/>
        <v>5.2</v>
      </c>
      <c r="G308" s="278">
        <v>21.78</v>
      </c>
      <c r="H308" s="130">
        <f t="shared" si="85"/>
        <v>55.321200000000005</v>
      </c>
      <c r="I308" s="98">
        <f t="shared" si="86"/>
        <v>287.67024000000004</v>
      </c>
      <c r="J308" s="279">
        <v>0</v>
      </c>
      <c r="K308" s="98">
        <f t="shared" si="87"/>
        <v>0</v>
      </c>
      <c r="L308" s="280">
        <f t="shared" si="88"/>
        <v>21.78</v>
      </c>
      <c r="M308" s="130">
        <f t="shared" si="89"/>
        <v>55.321200000000005</v>
      </c>
      <c r="N308" s="98">
        <f t="shared" si="90"/>
        <v>0</v>
      </c>
      <c r="O308" s="281">
        <v>-0.25</v>
      </c>
      <c r="P308" s="130">
        <f t="shared" si="91"/>
        <v>-0.635</v>
      </c>
      <c r="Q308" s="98">
        <f t="shared" si="92"/>
        <v>-3.302</v>
      </c>
      <c r="R308" s="130">
        <f t="shared" si="93"/>
        <v>0</v>
      </c>
      <c r="V308" s="98"/>
    </row>
    <row r="309" spans="1:22" s="8" customFormat="1" ht="16.5" customHeight="1">
      <c r="A309" s="322"/>
      <c r="B309" s="135"/>
      <c r="C309" s="518"/>
      <c r="D309" s="565"/>
      <c r="E309" s="566"/>
      <c r="F309" s="323"/>
      <c r="G309" s="324"/>
      <c r="H309" s="323"/>
      <c r="I309" s="325"/>
      <c r="J309" s="326"/>
      <c r="K309" s="325"/>
      <c r="L309" s="327"/>
      <c r="M309" s="323"/>
      <c r="N309" s="325"/>
      <c r="O309" s="328"/>
      <c r="P309" s="323"/>
      <c r="Q309" s="325"/>
      <c r="R309" s="323"/>
      <c r="V309" s="98"/>
    </row>
    <row r="310" spans="1:22" s="8" customFormat="1" ht="16.5" customHeight="1">
      <c r="A310" s="223" t="s">
        <v>527</v>
      </c>
      <c r="B310" s="764">
        <f>'Weight sheet'!C282</f>
        <v>4199340</v>
      </c>
      <c r="C310" s="764">
        <f>'Weight sheet'!D282</f>
        <v>49878</v>
      </c>
      <c r="D310" s="765"/>
      <c r="E310" s="558"/>
      <c r="F310" s="115"/>
      <c r="G310" s="342"/>
      <c r="H310" s="115"/>
      <c r="I310" s="122"/>
      <c r="J310" s="270"/>
      <c r="K310" s="205"/>
      <c r="L310" s="340"/>
      <c r="M310" s="115"/>
      <c r="N310" s="205"/>
      <c r="O310" s="177"/>
      <c r="P310" s="99"/>
      <c r="Q310" s="99"/>
      <c r="R310" s="194"/>
      <c r="V310" s="98"/>
    </row>
    <row r="311" spans="2:22" s="8" customFormat="1" ht="16.5" customHeight="1">
      <c r="B311" s="791" t="s">
        <v>865</v>
      </c>
      <c r="C311" s="792">
        <f>SUM(F313:F320)</f>
        <v>7970.2</v>
      </c>
      <c r="D311" s="801" t="s">
        <v>986</v>
      </c>
      <c r="E311" s="557" t="s">
        <v>955</v>
      </c>
      <c r="F311" s="115"/>
      <c r="G311" s="342"/>
      <c r="H311" s="115"/>
      <c r="J311" s="270"/>
      <c r="L311" s="340"/>
      <c r="M311" s="115"/>
      <c r="N311" s="205"/>
      <c r="O311" s="177"/>
      <c r="P311" s="99"/>
      <c r="Q311" s="99"/>
      <c r="R311" s="194"/>
      <c r="V311" s="98"/>
    </row>
    <row r="312" spans="2:33" s="8" customFormat="1" ht="16.5" customHeight="1">
      <c r="B312" s="830" t="s">
        <v>708</v>
      </c>
      <c r="C312" s="877">
        <f>'Weight sheet'!H284</f>
        <v>7972</v>
      </c>
      <c r="D312" s="801" t="s">
        <v>986</v>
      </c>
      <c r="E312" s="531">
        <f>C312-C311</f>
        <v>1.800000000000182</v>
      </c>
      <c r="I312" s="343"/>
      <c r="O312" s="177"/>
      <c r="T312"/>
      <c r="U312"/>
      <c r="V312"/>
      <c r="W312"/>
      <c r="X312"/>
      <c r="Y312"/>
      <c r="Z312"/>
      <c r="AA312"/>
      <c r="AB312"/>
      <c r="AC312"/>
      <c r="AD312"/>
      <c r="AE312"/>
      <c r="AF312"/>
      <c r="AG312"/>
    </row>
    <row r="313" spans="1:22" s="8" customFormat="1" ht="16.5" customHeight="1">
      <c r="A313" s="576" t="s">
        <v>528</v>
      </c>
      <c r="B313" s="762">
        <f>'Weight sheet'!C285</f>
        <v>4199326</v>
      </c>
      <c r="C313" s="762">
        <f>'Weight sheet'!D285</f>
        <v>49817</v>
      </c>
      <c r="D313" s="881">
        <f>'Weight sheet'!F285</f>
        <v>1</v>
      </c>
      <c r="E313" s="869">
        <f>'Weight sheet'!H285</f>
        <v>3602</v>
      </c>
      <c r="F313" s="130">
        <f aca="true" t="shared" si="94" ref="F313:F320">E313*D313</f>
        <v>3602</v>
      </c>
      <c r="G313" s="307">
        <v>43.539</v>
      </c>
      <c r="H313" s="130">
        <f aca="true" t="shared" si="95" ref="H313:H320">G313*2.54</f>
        <v>110.58906</v>
      </c>
      <c r="I313" s="98">
        <f aca="true" t="shared" si="96" ref="I313:I320">F313*H313</f>
        <v>398341.79412000004</v>
      </c>
      <c r="J313" s="275">
        <v>12257.8</v>
      </c>
      <c r="K313" s="130">
        <f aca="true" t="shared" si="97" ref="K313:K320">J313*D313</f>
        <v>12257.8</v>
      </c>
      <c r="L313" s="280">
        <v>43.539</v>
      </c>
      <c r="M313" s="130">
        <f aca="true" t="shared" si="98" ref="M313:M320">L313*2.54</f>
        <v>110.58906</v>
      </c>
      <c r="N313" s="98">
        <f aca="true" t="shared" si="99" ref="N313:N320">K313*M313</f>
        <v>1355578.5796679999</v>
      </c>
      <c r="O313" s="281">
        <v>0</v>
      </c>
      <c r="P313" s="130">
        <f aca="true" t="shared" si="100" ref="P313:P320">O313*2.54</f>
        <v>0</v>
      </c>
      <c r="Q313" s="98">
        <f aca="true" t="shared" si="101" ref="Q313:Q320">F313*P313</f>
        <v>0</v>
      </c>
      <c r="R313" s="130">
        <f aca="true" t="shared" si="102" ref="R313:R320">K313*P313</f>
        <v>0</v>
      </c>
      <c r="V313" s="98"/>
    </row>
    <row r="314" spans="1:22" s="195" customFormat="1" ht="16.5" customHeight="1">
      <c r="A314" s="576" t="s">
        <v>402</v>
      </c>
      <c r="B314" s="762">
        <f>'Weight sheet'!C286</f>
        <v>4199326</v>
      </c>
      <c r="C314" s="762">
        <f>'Weight sheet'!D286</f>
        <v>49817</v>
      </c>
      <c r="D314" s="881">
        <f>'Weight sheet'!F286</f>
        <v>1</v>
      </c>
      <c r="E314" s="869">
        <f>'Weight sheet'!H286</f>
        <v>3604</v>
      </c>
      <c r="F314" s="130">
        <f t="shared" si="94"/>
        <v>3604</v>
      </c>
      <c r="G314" s="307">
        <v>33.671</v>
      </c>
      <c r="H314" s="130">
        <f t="shared" si="95"/>
        <v>85.52434</v>
      </c>
      <c r="I314" s="98">
        <f t="shared" si="96"/>
        <v>308229.72135999997</v>
      </c>
      <c r="J314" s="275">
        <v>12257.8</v>
      </c>
      <c r="K314" s="130">
        <f t="shared" si="97"/>
        <v>12257.8</v>
      </c>
      <c r="L314" s="280">
        <v>33.671</v>
      </c>
      <c r="M314" s="130">
        <f t="shared" si="98"/>
        <v>85.52434</v>
      </c>
      <c r="N314" s="98">
        <f t="shared" si="99"/>
        <v>1048340.2548519999</v>
      </c>
      <c r="O314" s="281">
        <v>0</v>
      </c>
      <c r="P314" s="130">
        <f t="shared" si="100"/>
        <v>0</v>
      </c>
      <c r="Q314" s="98">
        <f t="shared" si="101"/>
        <v>0</v>
      </c>
      <c r="R314" s="130">
        <f t="shared" si="102"/>
        <v>0</v>
      </c>
      <c r="V314" s="196"/>
    </row>
    <row r="315" spans="1:22" s="8" customFormat="1" ht="16.5" customHeight="1">
      <c r="A315" s="576" t="s">
        <v>403</v>
      </c>
      <c r="B315" s="762">
        <f>'Weight sheet'!C287</f>
        <v>4199327</v>
      </c>
      <c r="C315" s="762">
        <f>'Weight sheet'!D287</f>
        <v>49818</v>
      </c>
      <c r="D315" s="881">
        <f>'Weight sheet'!F287</f>
        <v>1</v>
      </c>
      <c r="E315" s="869">
        <f>'Weight sheet'!H287</f>
        <v>686</v>
      </c>
      <c r="F315" s="130">
        <f t="shared" si="94"/>
        <v>686</v>
      </c>
      <c r="G315" s="307">
        <v>38.935</v>
      </c>
      <c r="H315" s="130">
        <f t="shared" si="95"/>
        <v>98.8949</v>
      </c>
      <c r="I315" s="98">
        <f t="shared" si="96"/>
        <v>67841.9014</v>
      </c>
      <c r="J315" s="275">
        <v>436.8</v>
      </c>
      <c r="K315" s="130">
        <f t="shared" si="97"/>
        <v>436.8</v>
      </c>
      <c r="L315" s="280">
        <f aca="true" t="shared" si="103" ref="L315:L320">G315</f>
        <v>38.935</v>
      </c>
      <c r="M315" s="130">
        <f t="shared" si="98"/>
        <v>98.8949</v>
      </c>
      <c r="N315" s="98">
        <f t="shared" si="99"/>
        <v>43197.29232000001</v>
      </c>
      <c r="O315" s="281">
        <v>0</v>
      </c>
      <c r="P315" s="130">
        <f t="shared" si="100"/>
        <v>0</v>
      </c>
      <c r="Q315" s="98">
        <f t="shared" si="101"/>
        <v>0</v>
      </c>
      <c r="R315" s="130">
        <f t="shared" si="102"/>
        <v>0</v>
      </c>
      <c r="V315" s="98"/>
    </row>
    <row r="316" spans="1:22" s="8" customFormat="1" ht="16.5" customHeight="1">
      <c r="A316" s="576" t="s">
        <v>404</v>
      </c>
      <c r="B316" s="762" t="str">
        <f>'Weight sheet'!C288</f>
        <v>4199121 / 4199122</v>
      </c>
      <c r="C316" s="762" t="str">
        <f>'Weight sheet'!D288</f>
        <v>55215 / 55217</v>
      </c>
      <c r="D316" s="881">
        <f>'Weight sheet'!F288</f>
        <v>1</v>
      </c>
      <c r="E316" s="869">
        <f>'Weight sheet'!H288</f>
        <v>13.2</v>
      </c>
      <c r="F316" s="130">
        <f t="shared" si="94"/>
        <v>13.2</v>
      </c>
      <c r="G316" s="307">
        <v>38.625</v>
      </c>
      <c r="H316" s="130">
        <f t="shared" si="95"/>
        <v>98.1075</v>
      </c>
      <c r="I316" s="98">
        <f t="shared" si="96"/>
        <v>1295.019</v>
      </c>
      <c r="J316" s="226">
        <v>0</v>
      </c>
      <c r="K316" s="130">
        <f t="shared" si="97"/>
        <v>0</v>
      </c>
      <c r="L316" s="280">
        <f t="shared" si="103"/>
        <v>38.625</v>
      </c>
      <c r="M316" s="130">
        <f t="shared" si="98"/>
        <v>98.1075</v>
      </c>
      <c r="N316" s="98">
        <f t="shared" si="99"/>
        <v>0</v>
      </c>
      <c r="O316" s="281">
        <v>0</v>
      </c>
      <c r="P316" s="130">
        <f t="shared" si="100"/>
        <v>0</v>
      </c>
      <c r="Q316" s="98">
        <f t="shared" si="101"/>
        <v>0</v>
      </c>
      <c r="R316" s="130">
        <f t="shared" si="102"/>
        <v>0</v>
      </c>
      <c r="V316" s="98"/>
    </row>
    <row r="317" spans="1:22" s="8" customFormat="1" ht="16.5" customHeight="1">
      <c r="A317" s="576" t="s">
        <v>405</v>
      </c>
      <c r="B317" s="762">
        <f>'Weight sheet'!C289</f>
        <v>4199060</v>
      </c>
      <c r="C317" s="762">
        <f>'Weight sheet'!D289</f>
        <v>52412</v>
      </c>
      <c r="D317" s="881">
        <f>'Weight sheet'!F289</f>
        <v>1</v>
      </c>
      <c r="E317" s="869">
        <f>'Weight sheet'!H289</f>
        <v>16.7</v>
      </c>
      <c r="F317" s="130">
        <f t="shared" si="94"/>
        <v>16.7</v>
      </c>
      <c r="G317" s="307">
        <v>38.625</v>
      </c>
      <c r="H317" s="130">
        <f t="shared" si="95"/>
        <v>98.1075</v>
      </c>
      <c r="I317" s="98">
        <f t="shared" si="96"/>
        <v>1638.39525</v>
      </c>
      <c r="J317" s="275">
        <v>7.32</v>
      </c>
      <c r="K317" s="130">
        <f t="shared" si="97"/>
        <v>7.32</v>
      </c>
      <c r="L317" s="280">
        <f t="shared" si="103"/>
        <v>38.625</v>
      </c>
      <c r="M317" s="130">
        <f t="shared" si="98"/>
        <v>98.1075</v>
      </c>
      <c r="N317" s="98">
        <f t="shared" si="99"/>
        <v>718.1469000000001</v>
      </c>
      <c r="O317" s="281">
        <v>0</v>
      </c>
      <c r="P317" s="130">
        <f t="shared" si="100"/>
        <v>0</v>
      </c>
      <c r="Q317" s="98">
        <f t="shared" si="101"/>
        <v>0</v>
      </c>
      <c r="R317" s="130">
        <f t="shared" si="102"/>
        <v>0</v>
      </c>
      <c r="V317" s="98"/>
    </row>
    <row r="318" spans="1:22" s="8" customFormat="1" ht="16.5" customHeight="1">
      <c r="A318" s="576" t="s">
        <v>51</v>
      </c>
      <c r="B318" s="762">
        <f>'Weight sheet'!C290</f>
        <v>4199341</v>
      </c>
      <c r="C318" s="762">
        <f>'Weight sheet'!D290</f>
        <v>49883</v>
      </c>
      <c r="D318" s="881">
        <f>'Weight sheet'!F290</f>
        <v>1</v>
      </c>
      <c r="E318" s="869">
        <f>'Weight sheet'!H290</f>
        <v>25.7</v>
      </c>
      <c r="F318" s="130">
        <f t="shared" si="94"/>
        <v>25.7</v>
      </c>
      <c r="G318" s="307">
        <v>38.625</v>
      </c>
      <c r="H318" s="130">
        <f t="shared" si="95"/>
        <v>98.1075</v>
      </c>
      <c r="I318" s="98">
        <f t="shared" si="96"/>
        <v>2521.36275</v>
      </c>
      <c r="J318" s="279">
        <v>0</v>
      </c>
      <c r="K318" s="98">
        <f t="shared" si="97"/>
        <v>0</v>
      </c>
      <c r="L318" s="280">
        <f t="shared" si="103"/>
        <v>38.625</v>
      </c>
      <c r="M318" s="130">
        <f t="shared" si="98"/>
        <v>98.1075</v>
      </c>
      <c r="N318" s="98">
        <f t="shared" si="99"/>
        <v>0</v>
      </c>
      <c r="O318" s="281">
        <v>3.95</v>
      </c>
      <c r="P318" s="130">
        <f t="shared" si="100"/>
        <v>10.033000000000001</v>
      </c>
      <c r="Q318" s="98">
        <f t="shared" si="101"/>
        <v>257.84810000000004</v>
      </c>
      <c r="R318" s="130">
        <f t="shared" si="102"/>
        <v>0</v>
      </c>
      <c r="V318" s="98"/>
    </row>
    <row r="319" spans="1:22" s="8" customFormat="1" ht="16.5" customHeight="1">
      <c r="A319" s="576" t="s">
        <v>406</v>
      </c>
      <c r="B319" s="762">
        <f>'Weight sheet'!C291</f>
        <v>4199412</v>
      </c>
      <c r="C319" s="762">
        <f>'Weight sheet'!D291</f>
        <v>52405</v>
      </c>
      <c r="D319" s="881">
        <f>'Weight sheet'!F291</f>
        <v>1</v>
      </c>
      <c r="E319" s="869">
        <f>'Weight sheet'!H291</f>
        <v>18.6</v>
      </c>
      <c r="F319" s="130">
        <f t="shared" si="94"/>
        <v>18.6</v>
      </c>
      <c r="G319" s="307">
        <v>38.625</v>
      </c>
      <c r="H319" s="130">
        <f t="shared" si="95"/>
        <v>98.1075</v>
      </c>
      <c r="I319" s="98">
        <f t="shared" si="96"/>
        <v>1824.7995</v>
      </c>
      <c r="J319" s="279">
        <v>0</v>
      </c>
      <c r="K319" s="98">
        <f t="shared" si="97"/>
        <v>0</v>
      </c>
      <c r="L319" s="280">
        <f t="shared" si="103"/>
        <v>38.625</v>
      </c>
      <c r="M319" s="130">
        <f t="shared" si="98"/>
        <v>98.1075</v>
      </c>
      <c r="N319" s="98">
        <f t="shared" si="99"/>
        <v>0</v>
      </c>
      <c r="O319" s="281">
        <v>3.95</v>
      </c>
      <c r="P319" s="130">
        <f t="shared" si="100"/>
        <v>10.033000000000001</v>
      </c>
      <c r="Q319" s="98">
        <f t="shared" si="101"/>
        <v>186.61380000000003</v>
      </c>
      <c r="R319" s="130">
        <f t="shared" si="102"/>
        <v>0</v>
      </c>
      <c r="V319" s="98"/>
    </row>
    <row r="320" spans="1:22" s="8" customFormat="1" ht="16.5" customHeight="1">
      <c r="A320" s="576" t="s">
        <v>257</v>
      </c>
      <c r="B320" s="762" t="str">
        <f>'Weight sheet'!C292</f>
        <v>4134111 / 4199341</v>
      </c>
      <c r="C320" s="762" t="str">
        <f>'Weight sheet'!D292</f>
        <v>55527 / 49883</v>
      </c>
      <c r="D320" s="881">
        <f>'Weight sheet'!F292</f>
        <v>1</v>
      </c>
      <c r="E320" s="869">
        <f>'Weight sheet'!H292</f>
        <v>4</v>
      </c>
      <c r="F320" s="130">
        <f t="shared" si="94"/>
        <v>4</v>
      </c>
      <c r="G320" s="307">
        <v>38.625</v>
      </c>
      <c r="H320" s="130">
        <f t="shared" si="95"/>
        <v>98.1075</v>
      </c>
      <c r="I320" s="98">
        <f t="shared" si="96"/>
        <v>392.43</v>
      </c>
      <c r="J320" s="279">
        <v>0</v>
      </c>
      <c r="K320" s="98">
        <f t="shared" si="97"/>
        <v>0</v>
      </c>
      <c r="L320" s="280">
        <f t="shared" si="103"/>
        <v>38.625</v>
      </c>
      <c r="M320" s="130">
        <f t="shared" si="98"/>
        <v>98.1075</v>
      </c>
      <c r="N320" s="98">
        <f t="shared" si="99"/>
        <v>0</v>
      </c>
      <c r="O320" s="281">
        <v>3.95</v>
      </c>
      <c r="P320" s="130">
        <f t="shared" si="100"/>
        <v>10.033000000000001</v>
      </c>
      <c r="Q320" s="98">
        <f t="shared" si="101"/>
        <v>40.132000000000005</v>
      </c>
      <c r="R320" s="130">
        <f t="shared" si="102"/>
        <v>0</v>
      </c>
      <c r="V320" s="98"/>
    </row>
    <row r="321" spans="1:22" s="8" customFormat="1" ht="16.5" customHeight="1">
      <c r="A321" s="305"/>
      <c r="B321" s="99"/>
      <c r="C321" s="518"/>
      <c r="D321" s="565"/>
      <c r="E321" s="566"/>
      <c r="F321" s="323"/>
      <c r="G321" s="324"/>
      <c r="H321" s="323"/>
      <c r="I321" s="325"/>
      <c r="J321" s="344"/>
      <c r="K321" s="325"/>
      <c r="L321" s="327"/>
      <c r="M321" s="323"/>
      <c r="N321" s="325"/>
      <c r="O321" s="328"/>
      <c r="P321" s="323"/>
      <c r="Q321" s="325"/>
      <c r="R321" s="323"/>
      <c r="V321" s="98"/>
    </row>
    <row r="322" spans="1:22" s="109" customFormat="1" ht="16.5" customHeight="1">
      <c r="A322" s="287" t="s">
        <v>259</v>
      </c>
      <c r="B322" s="764">
        <f>'Weight sheet'!C294</f>
        <v>4199339</v>
      </c>
      <c r="C322" s="764">
        <f>'Weight sheet'!D294</f>
        <v>49877</v>
      </c>
      <c r="D322" s="763"/>
      <c r="E322" s="558"/>
      <c r="F322" s="204"/>
      <c r="G322" s="346"/>
      <c r="H322" s="204"/>
      <c r="I322" s="246"/>
      <c r="J322" s="270"/>
      <c r="K322" s="345"/>
      <c r="L322" s="123"/>
      <c r="M322" s="204"/>
      <c r="N322" s="345"/>
      <c r="O322" s="240"/>
      <c r="P322" s="112"/>
      <c r="Q322" s="112"/>
      <c r="R322" s="245"/>
      <c r="V322" s="132"/>
    </row>
    <row r="323" spans="2:22" s="109" customFormat="1" ht="16.5" customHeight="1">
      <c r="B323" s="791" t="s">
        <v>865</v>
      </c>
      <c r="C323" s="792">
        <f>SUM(F325:F337)</f>
        <v>5151.7</v>
      </c>
      <c r="D323" s="801" t="s">
        <v>986</v>
      </c>
      <c r="E323" s="557" t="s">
        <v>955</v>
      </c>
      <c r="F323" s="204"/>
      <c r="G323" s="346"/>
      <c r="H323" s="204"/>
      <c r="J323" s="270"/>
      <c r="L323" s="123"/>
      <c r="M323" s="204"/>
      <c r="N323" s="345"/>
      <c r="O323" s="240"/>
      <c r="P323" s="112"/>
      <c r="Q323" s="112"/>
      <c r="R323" s="245"/>
      <c r="V323" s="132"/>
    </row>
    <row r="324" spans="2:33" s="109" customFormat="1" ht="16.5" customHeight="1">
      <c r="B324" s="830" t="s">
        <v>708</v>
      </c>
      <c r="C324" s="877">
        <f>'Weight sheet'!H296</f>
        <v>5154</v>
      </c>
      <c r="D324" s="801" t="s">
        <v>986</v>
      </c>
      <c r="E324" s="531">
        <f>C324-C323</f>
        <v>2.300000000000182</v>
      </c>
      <c r="I324" s="308"/>
      <c r="O324" s="240"/>
      <c r="T324"/>
      <c r="U324"/>
      <c r="V324"/>
      <c r="W324"/>
      <c r="X324"/>
      <c r="Y324"/>
      <c r="Z324"/>
      <c r="AA324"/>
      <c r="AB324"/>
      <c r="AC324"/>
      <c r="AD324"/>
      <c r="AE324"/>
      <c r="AF324"/>
      <c r="AG324"/>
    </row>
    <row r="325" spans="1:22" s="109" customFormat="1" ht="16.5" customHeight="1">
      <c r="A325" s="804" t="s">
        <v>260</v>
      </c>
      <c r="B325" s="762">
        <f>'Weight sheet'!C297</f>
        <v>4199329</v>
      </c>
      <c r="C325" s="762">
        <f>'Weight sheet'!D297</f>
        <v>49830</v>
      </c>
      <c r="D325" s="881">
        <f>'Weight sheet'!F297</f>
        <v>1</v>
      </c>
      <c r="E325" s="869">
        <f>'Weight sheet'!H297</f>
        <v>1890</v>
      </c>
      <c r="F325" s="208">
        <f aca="true" t="shared" si="104" ref="F325:F331">E325*D325</f>
        <v>1890</v>
      </c>
      <c r="G325" s="225">
        <v>15.566</v>
      </c>
      <c r="H325" s="208">
        <f aca="true" t="shared" si="105" ref="H325:H331">G325*2.54</f>
        <v>39.53764</v>
      </c>
      <c r="I325" s="132">
        <f aca="true" t="shared" si="106" ref="I325:I331">F325*H325</f>
        <v>74726.13960000001</v>
      </c>
      <c r="J325" s="275">
        <v>5178.3</v>
      </c>
      <c r="K325" s="208">
        <f aca="true" t="shared" si="107" ref="K325:K331">J325*D325</f>
        <v>5178.3</v>
      </c>
      <c r="L325" s="227">
        <v>15.781</v>
      </c>
      <c r="M325" s="208">
        <f aca="true" t="shared" si="108" ref="M325:M331">L325*2.54</f>
        <v>40.08374</v>
      </c>
      <c r="N325" s="98">
        <f aca="true" t="shared" si="109" ref="N325:N331">K325*M325</f>
        <v>207565.630842</v>
      </c>
      <c r="O325" s="210">
        <v>0</v>
      </c>
      <c r="P325" s="208">
        <f aca="true" t="shared" si="110" ref="P325:P331">O325*2.54</f>
        <v>0</v>
      </c>
      <c r="Q325" s="132">
        <f aca="true" t="shared" si="111" ref="Q325:Q331">F325*P325</f>
        <v>0</v>
      </c>
      <c r="R325" s="208">
        <f aca="true" t="shared" si="112" ref="R325:R331">K325*P325</f>
        <v>0</v>
      </c>
      <c r="V325" s="132"/>
    </row>
    <row r="326" spans="1:22" s="347" customFormat="1" ht="16.5" customHeight="1">
      <c r="A326" s="804" t="s">
        <v>261</v>
      </c>
      <c r="B326" s="762" t="str">
        <f>'Weight sheet'!C298</f>
        <v>4199379 / 4199036</v>
      </c>
      <c r="C326" s="762" t="str">
        <f>'Weight sheet'!D298</f>
        <v>52267 / 52223</v>
      </c>
      <c r="D326" s="881">
        <f>'Weight sheet'!F298</f>
        <v>1</v>
      </c>
      <c r="E326" s="869">
        <f>'Weight sheet'!H298</f>
        <v>1440</v>
      </c>
      <c r="F326" s="208">
        <f t="shared" si="104"/>
        <v>1440</v>
      </c>
      <c r="G326" s="225">
        <v>9.015</v>
      </c>
      <c r="H326" s="208">
        <f t="shared" si="105"/>
        <v>22.898100000000003</v>
      </c>
      <c r="I326" s="132">
        <f t="shared" si="106"/>
        <v>32973.264</v>
      </c>
      <c r="J326" s="275">
        <v>656.2</v>
      </c>
      <c r="K326" s="208">
        <f t="shared" si="107"/>
        <v>656.2</v>
      </c>
      <c r="L326" s="227">
        <v>9.015</v>
      </c>
      <c r="M326" s="208">
        <f t="shared" si="108"/>
        <v>22.898100000000003</v>
      </c>
      <c r="N326" s="98">
        <f t="shared" si="109"/>
        <v>15025.733220000004</v>
      </c>
      <c r="O326" s="210">
        <v>0</v>
      </c>
      <c r="P326" s="208">
        <f t="shared" si="110"/>
        <v>0</v>
      </c>
      <c r="Q326" s="132">
        <f t="shared" si="111"/>
        <v>0</v>
      </c>
      <c r="R326" s="208">
        <f t="shared" si="112"/>
        <v>0</v>
      </c>
      <c r="V326" s="348"/>
    </row>
    <row r="327" spans="1:22" s="347" customFormat="1" ht="16.5" customHeight="1">
      <c r="A327" s="804" t="s">
        <v>413</v>
      </c>
      <c r="B327" s="762">
        <f>'Weight sheet'!C300</f>
        <v>4199062</v>
      </c>
      <c r="C327" s="762">
        <f>'Weight sheet'!D300</f>
        <v>52413</v>
      </c>
      <c r="D327" s="881">
        <f>'Weight sheet'!F300</f>
        <v>1</v>
      </c>
      <c r="E327" s="869">
        <f>'Weight sheet'!H300</f>
        <v>3.2</v>
      </c>
      <c r="F327" s="208">
        <f t="shared" si="104"/>
        <v>3.2</v>
      </c>
      <c r="G327" s="225">
        <v>10.5</v>
      </c>
      <c r="H327" s="208">
        <f t="shared" si="105"/>
        <v>26.67</v>
      </c>
      <c r="I327" s="132">
        <f t="shared" si="106"/>
        <v>85.34400000000001</v>
      </c>
      <c r="J327" s="279">
        <v>0</v>
      </c>
      <c r="K327" s="132">
        <f t="shared" si="107"/>
        <v>0</v>
      </c>
      <c r="L327" s="227">
        <f>G327</f>
        <v>10.5</v>
      </c>
      <c r="M327" s="208">
        <f t="shared" si="108"/>
        <v>26.67</v>
      </c>
      <c r="N327" s="98">
        <f t="shared" si="109"/>
        <v>0</v>
      </c>
      <c r="O327" s="210">
        <v>0</v>
      </c>
      <c r="P327" s="208">
        <f t="shared" si="110"/>
        <v>0</v>
      </c>
      <c r="Q327" s="132">
        <f t="shared" si="111"/>
        <v>0</v>
      </c>
      <c r="R327" s="208">
        <f t="shared" si="112"/>
        <v>0</v>
      </c>
      <c r="V327" s="348"/>
    </row>
    <row r="328" spans="1:22" s="109" customFormat="1" ht="16.5" customHeight="1">
      <c r="A328" s="806" t="s">
        <v>414</v>
      </c>
      <c r="B328" s="762" t="str">
        <f>'Weight sheet'!C301</f>
        <v>4199127 / 4199134</v>
      </c>
      <c r="C328" s="762" t="str">
        <f>'Weight sheet'!D301</f>
        <v>55236 / 55252</v>
      </c>
      <c r="D328" s="881">
        <f>'Weight sheet'!F301</f>
        <v>1</v>
      </c>
      <c r="E328" s="869">
        <f>'Weight sheet'!H301</f>
        <v>15.2</v>
      </c>
      <c r="F328" s="208">
        <f t="shared" si="104"/>
        <v>15.2</v>
      </c>
      <c r="G328" s="225">
        <v>10.7</v>
      </c>
      <c r="H328" s="208">
        <f t="shared" si="105"/>
        <v>27.177999999999997</v>
      </c>
      <c r="I328" s="132">
        <f t="shared" si="106"/>
        <v>413.1055999999999</v>
      </c>
      <c r="J328" s="279">
        <v>0</v>
      </c>
      <c r="K328" s="132">
        <f t="shared" si="107"/>
        <v>0</v>
      </c>
      <c r="L328" s="227">
        <f>G328</f>
        <v>10.7</v>
      </c>
      <c r="M328" s="208">
        <f t="shared" si="108"/>
        <v>27.177999999999997</v>
      </c>
      <c r="N328" s="98">
        <f t="shared" si="109"/>
        <v>0</v>
      </c>
      <c r="O328" s="210">
        <v>0</v>
      </c>
      <c r="P328" s="208">
        <f t="shared" si="110"/>
        <v>0</v>
      </c>
      <c r="Q328" s="132">
        <f t="shared" si="111"/>
        <v>0</v>
      </c>
      <c r="R328" s="208">
        <f t="shared" si="112"/>
        <v>0</v>
      </c>
      <c r="V328" s="107"/>
    </row>
    <row r="329" spans="1:22" s="109" customFormat="1" ht="16.5" customHeight="1">
      <c r="A329" s="804" t="s">
        <v>416</v>
      </c>
      <c r="B329" s="762">
        <f>'Weight sheet'!C302</f>
        <v>4199328</v>
      </c>
      <c r="C329" s="762">
        <f>'Weight sheet'!D302</f>
        <v>49829</v>
      </c>
      <c r="D329" s="881">
        <f>'Weight sheet'!F302</f>
        <v>1</v>
      </c>
      <c r="E329" s="869">
        <f>'Weight sheet'!H302</f>
        <v>1689</v>
      </c>
      <c r="F329" s="208">
        <f t="shared" si="104"/>
        <v>1689</v>
      </c>
      <c r="G329" s="225">
        <v>22.843</v>
      </c>
      <c r="H329" s="208">
        <f t="shared" si="105"/>
        <v>58.02122</v>
      </c>
      <c r="I329" s="132">
        <f t="shared" si="106"/>
        <v>97997.84058</v>
      </c>
      <c r="J329" s="275">
        <v>5240.9</v>
      </c>
      <c r="K329" s="208">
        <f t="shared" si="107"/>
        <v>5240.9</v>
      </c>
      <c r="L329" s="227">
        <v>22.919</v>
      </c>
      <c r="M329" s="208">
        <f t="shared" si="108"/>
        <v>58.21426</v>
      </c>
      <c r="N329" s="98">
        <f t="shared" si="109"/>
        <v>305095.11523399997</v>
      </c>
      <c r="O329" s="210">
        <v>0</v>
      </c>
      <c r="P329" s="208">
        <f t="shared" si="110"/>
        <v>0</v>
      </c>
      <c r="Q329" s="132">
        <f t="shared" si="111"/>
        <v>0</v>
      </c>
      <c r="R329" s="208">
        <f t="shared" si="112"/>
        <v>0</v>
      </c>
      <c r="V329" s="132"/>
    </row>
    <row r="330" spans="1:22" s="109" customFormat="1" ht="16.5" customHeight="1">
      <c r="A330" s="804" t="s">
        <v>417</v>
      </c>
      <c r="B330" s="762">
        <f>'Weight sheet'!C303</f>
        <v>4199058</v>
      </c>
      <c r="C330" s="762">
        <f>'Weight sheet'!D303</f>
        <v>52410</v>
      </c>
      <c r="D330" s="881">
        <f>'Weight sheet'!F303</f>
        <v>1</v>
      </c>
      <c r="E330" s="869">
        <f>'Weight sheet'!H303</f>
        <v>6.6</v>
      </c>
      <c r="F330" s="208">
        <f t="shared" si="104"/>
        <v>6.6</v>
      </c>
      <c r="G330" s="225">
        <v>19.77</v>
      </c>
      <c r="H330" s="208">
        <f t="shared" si="105"/>
        <v>50.2158</v>
      </c>
      <c r="I330" s="132">
        <f t="shared" si="106"/>
        <v>331.42428</v>
      </c>
      <c r="J330" s="275">
        <v>5.76</v>
      </c>
      <c r="K330" s="208">
        <f t="shared" si="107"/>
        <v>5.76</v>
      </c>
      <c r="L330" s="227">
        <f>G330</f>
        <v>19.77</v>
      </c>
      <c r="M330" s="208">
        <f t="shared" si="108"/>
        <v>50.2158</v>
      </c>
      <c r="N330" s="98">
        <f t="shared" si="109"/>
        <v>289.243008</v>
      </c>
      <c r="O330" s="210">
        <v>0</v>
      </c>
      <c r="P330" s="208">
        <f t="shared" si="110"/>
        <v>0</v>
      </c>
      <c r="Q330" s="132">
        <f t="shared" si="111"/>
        <v>0</v>
      </c>
      <c r="R330" s="208">
        <f t="shared" si="112"/>
        <v>0</v>
      </c>
      <c r="V330" s="132"/>
    </row>
    <row r="331" spans="1:22" s="109" customFormat="1" ht="16.5" customHeight="1">
      <c r="A331" s="806" t="s">
        <v>418</v>
      </c>
      <c r="B331" s="762" t="str">
        <f>'Weight sheet'!C304</f>
        <v>4199111 / 4199122</v>
      </c>
      <c r="C331" s="762" t="str">
        <f>'Weight sheet'!D304</f>
        <v>55183 / 55217</v>
      </c>
      <c r="D331" s="881">
        <f>'Weight sheet'!F304</f>
        <v>1</v>
      </c>
      <c r="E331" s="869">
        <f>'Weight sheet'!H304</f>
        <v>10.4</v>
      </c>
      <c r="F331" s="208">
        <f t="shared" si="104"/>
        <v>10.4</v>
      </c>
      <c r="G331" s="225">
        <v>19.87</v>
      </c>
      <c r="H331" s="208">
        <f t="shared" si="105"/>
        <v>50.469800000000006</v>
      </c>
      <c r="I331" s="132">
        <f t="shared" si="106"/>
        <v>524.88592</v>
      </c>
      <c r="J331" s="279">
        <v>0</v>
      </c>
      <c r="K331" s="132">
        <f t="shared" si="107"/>
        <v>0</v>
      </c>
      <c r="L331" s="227">
        <f>G331</f>
        <v>19.87</v>
      </c>
      <c r="M331" s="208">
        <f t="shared" si="108"/>
        <v>50.469800000000006</v>
      </c>
      <c r="N331" s="98">
        <f t="shared" si="109"/>
        <v>0</v>
      </c>
      <c r="O331" s="210">
        <v>0</v>
      </c>
      <c r="P331" s="208">
        <f t="shared" si="110"/>
        <v>0</v>
      </c>
      <c r="Q331" s="132">
        <f t="shared" si="111"/>
        <v>0</v>
      </c>
      <c r="R331" s="208">
        <f t="shared" si="112"/>
        <v>0</v>
      </c>
      <c r="V331" s="107"/>
    </row>
    <row r="332" spans="1:22" s="109" customFormat="1" ht="30">
      <c r="A332" s="832" t="s">
        <v>49</v>
      </c>
      <c r="B332" s="831"/>
      <c r="C332" s="831"/>
      <c r="D332" s="881"/>
      <c r="E332" s="878"/>
      <c r="F332" s="208"/>
      <c r="G332" s="225"/>
      <c r="H332" s="208"/>
      <c r="I332" s="132"/>
      <c r="J332" s="279"/>
      <c r="K332" s="132"/>
      <c r="L332" s="227"/>
      <c r="M332" s="208"/>
      <c r="N332" s="98"/>
      <c r="O332" s="210"/>
      <c r="P332" s="208"/>
      <c r="Q332" s="132"/>
      <c r="R332" s="208"/>
      <c r="V332" s="107"/>
    </row>
    <row r="333" spans="1:22" s="109" customFormat="1" ht="16.5" customHeight="1">
      <c r="A333" s="806" t="s">
        <v>419</v>
      </c>
      <c r="B333" s="762">
        <f>'Weight sheet'!C306</f>
        <v>4199336</v>
      </c>
      <c r="C333" s="762">
        <f>'Weight sheet'!D306</f>
        <v>49848</v>
      </c>
      <c r="D333" s="881">
        <f>'Weight sheet'!F306</f>
        <v>1</v>
      </c>
      <c r="E333" s="869">
        <f>'Weight sheet'!H306</f>
        <v>24.6</v>
      </c>
      <c r="F333" s="208">
        <f>E333*D333</f>
        <v>24.6</v>
      </c>
      <c r="G333" s="225">
        <v>12.01</v>
      </c>
      <c r="H333" s="208">
        <f>G333*2.54</f>
        <v>30.5054</v>
      </c>
      <c r="I333" s="132">
        <f>F333*H333</f>
        <v>750.43284</v>
      </c>
      <c r="J333" s="279">
        <v>0</v>
      </c>
      <c r="K333" s="132">
        <f>J333*D333</f>
        <v>0</v>
      </c>
      <c r="L333" s="227">
        <f>G333</f>
        <v>12.01</v>
      </c>
      <c r="M333" s="208">
        <f>L333*2.54</f>
        <v>30.5054</v>
      </c>
      <c r="N333" s="98">
        <f>K333*M333</f>
        <v>0</v>
      </c>
      <c r="O333" s="210">
        <v>-0.35</v>
      </c>
      <c r="P333" s="208">
        <f>O333*2.54</f>
        <v>-0.8889999999999999</v>
      </c>
      <c r="Q333" s="132">
        <f>F333*P333</f>
        <v>-21.8694</v>
      </c>
      <c r="R333" s="208">
        <f>K333*P333</f>
        <v>0</v>
      </c>
      <c r="V333" s="107"/>
    </row>
    <row r="334" spans="1:22" s="283" customFormat="1" ht="16.5" customHeight="1">
      <c r="A334" s="806" t="s">
        <v>420</v>
      </c>
      <c r="B334" s="762" t="str">
        <f>'Weight sheet'!C307</f>
        <v>4199420 / 4205793</v>
      </c>
      <c r="C334" s="762" t="str">
        <f>'Weight sheet'!D307</f>
        <v>55305 / 57690</v>
      </c>
      <c r="D334" s="881">
        <f>'Weight sheet'!F307</f>
        <v>1</v>
      </c>
      <c r="E334" s="869">
        <f>'Weight sheet'!H307</f>
        <v>46.3</v>
      </c>
      <c r="F334" s="208">
        <f>E334*D334</f>
        <v>46.3</v>
      </c>
      <c r="G334" s="225">
        <v>12.01</v>
      </c>
      <c r="H334" s="208">
        <f>G334*2.54</f>
        <v>30.5054</v>
      </c>
      <c r="I334" s="132">
        <f>F334*H334</f>
        <v>1412.40002</v>
      </c>
      <c r="J334" s="279">
        <v>0</v>
      </c>
      <c r="K334" s="132">
        <f>J334*D334</f>
        <v>0</v>
      </c>
      <c r="L334" s="227">
        <f>G334</f>
        <v>12.01</v>
      </c>
      <c r="M334" s="208">
        <f>L334*2.54</f>
        <v>30.5054</v>
      </c>
      <c r="N334" s="98">
        <f>K334*M334</f>
        <v>0</v>
      </c>
      <c r="O334" s="210">
        <v>0</v>
      </c>
      <c r="P334" s="208">
        <f>O334*2.54</f>
        <v>0</v>
      </c>
      <c r="Q334" s="132">
        <f>F334*P334</f>
        <v>0</v>
      </c>
      <c r="R334" s="208">
        <f>K334*P334</f>
        <v>0</v>
      </c>
      <c r="V334" s="239"/>
    </row>
    <row r="335" spans="1:22" s="109" customFormat="1" ht="16.5" customHeight="1">
      <c r="A335" s="806" t="s">
        <v>421</v>
      </c>
      <c r="B335" s="762" t="str">
        <f>'Weight sheet'!C310</f>
        <v>4199126 / 4199146 /19928</v>
      </c>
      <c r="C335" s="762" t="str">
        <f>'Weight sheet'!D310</f>
        <v>55228 / 55282</v>
      </c>
      <c r="D335" s="881">
        <f>'Weight sheet'!F310</f>
        <v>1</v>
      </c>
      <c r="E335" s="869">
        <f>'Weight sheet'!H310</f>
        <v>2.9</v>
      </c>
      <c r="F335" s="208">
        <f>E335*D335</f>
        <v>2.9</v>
      </c>
      <c r="G335" s="225">
        <v>12.01</v>
      </c>
      <c r="H335" s="208">
        <f>G335*2.54</f>
        <v>30.5054</v>
      </c>
      <c r="I335" s="132">
        <f>F335*H335</f>
        <v>88.46566</v>
      </c>
      <c r="J335" s="279">
        <v>0</v>
      </c>
      <c r="K335" s="132">
        <f>J335*D335</f>
        <v>0</v>
      </c>
      <c r="L335" s="227">
        <f>G335</f>
        <v>12.01</v>
      </c>
      <c r="M335" s="208">
        <f>L335*2.54</f>
        <v>30.5054</v>
      </c>
      <c r="N335" s="98">
        <f>K335*M335</f>
        <v>0</v>
      </c>
      <c r="O335" s="210">
        <v>-0.31</v>
      </c>
      <c r="P335" s="208">
        <f>O335*2.54</f>
        <v>-0.7874</v>
      </c>
      <c r="Q335" s="132">
        <f>F335*P335</f>
        <v>-2.28346</v>
      </c>
      <c r="R335" s="208">
        <f>K335*P335</f>
        <v>0</v>
      </c>
      <c r="V335" s="107"/>
    </row>
    <row r="336" spans="1:22" s="109" customFormat="1" ht="16.5" customHeight="1">
      <c r="A336" s="806" t="s">
        <v>422</v>
      </c>
      <c r="B336" s="762" t="str">
        <f>'Weight sheet'!C311</f>
        <v>4199126 / 19928</v>
      </c>
      <c r="C336" s="762" t="str">
        <f>'Weight sheet'!D311</f>
        <v>55228 / 55233</v>
      </c>
      <c r="D336" s="881">
        <f>'Weight sheet'!F311</f>
        <v>1</v>
      </c>
      <c r="E336" s="869">
        <f>'Weight sheet'!H311</f>
        <v>1.4</v>
      </c>
      <c r="F336" s="208">
        <f>E336*D336</f>
        <v>1.4</v>
      </c>
      <c r="G336" s="225">
        <v>10.8</v>
      </c>
      <c r="H336" s="208">
        <f>G336*2.54</f>
        <v>27.432000000000002</v>
      </c>
      <c r="I336" s="132">
        <f>F336*H336</f>
        <v>38.4048</v>
      </c>
      <c r="J336" s="279">
        <v>0</v>
      </c>
      <c r="K336" s="132">
        <f>J336*D336</f>
        <v>0</v>
      </c>
      <c r="L336" s="227">
        <f>G336</f>
        <v>10.8</v>
      </c>
      <c r="M336" s="208">
        <f>L336*2.54</f>
        <v>27.432000000000002</v>
      </c>
      <c r="N336" s="98">
        <f>K336*M336</f>
        <v>0</v>
      </c>
      <c r="O336" s="210">
        <v>-0.81</v>
      </c>
      <c r="P336" s="208">
        <f>O336*2.54</f>
        <v>-2.0574000000000003</v>
      </c>
      <c r="Q336" s="132">
        <f>F336*P336</f>
        <v>-2.8803600000000005</v>
      </c>
      <c r="R336" s="208">
        <f>K336*P336</f>
        <v>0</v>
      </c>
      <c r="V336" s="107"/>
    </row>
    <row r="337" spans="1:22" s="283" customFormat="1" ht="16.5" customHeight="1">
      <c r="A337" s="806" t="s">
        <v>424</v>
      </c>
      <c r="B337" s="762">
        <f>'Weight sheet'!C312</f>
        <v>4199357</v>
      </c>
      <c r="C337" s="762">
        <f>'Weight sheet'!D312</f>
        <v>52244</v>
      </c>
      <c r="D337" s="881">
        <f>'Weight sheet'!F312</f>
        <v>1</v>
      </c>
      <c r="E337" s="869">
        <f>'Weight sheet'!H312</f>
        <v>22.1</v>
      </c>
      <c r="F337" s="208">
        <f>E337*D337</f>
        <v>22.1</v>
      </c>
      <c r="G337" s="225">
        <v>15.33</v>
      </c>
      <c r="H337" s="208">
        <f>G337*2.54</f>
        <v>38.9382</v>
      </c>
      <c r="I337" s="132">
        <f>F337*H337</f>
        <v>860.5342200000001</v>
      </c>
      <c r="J337" s="279">
        <v>0</v>
      </c>
      <c r="K337" s="132">
        <f>J337*D337</f>
        <v>0</v>
      </c>
      <c r="L337" s="227">
        <f>G337</f>
        <v>15.33</v>
      </c>
      <c r="M337" s="208">
        <f>L337*2.54</f>
        <v>38.9382</v>
      </c>
      <c r="N337" s="98">
        <f>K337*M337</f>
        <v>0</v>
      </c>
      <c r="O337" s="210">
        <v>0.38</v>
      </c>
      <c r="P337" s="208">
        <f>O337*2.54</f>
        <v>0.9652000000000001</v>
      </c>
      <c r="Q337" s="132">
        <f>F337*P337</f>
        <v>21.330920000000003</v>
      </c>
      <c r="R337" s="208">
        <f>K337*P337</f>
        <v>0</v>
      </c>
      <c r="V337" s="239"/>
    </row>
    <row r="338" spans="1:18" ht="13.5" thickBot="1">
      <c r="A338" s="349"/>
      <c r="B338" s="349"/>
      <c r="C338" s="3"/>
      <c r="D338" s="3"/>
      <c r="E338" s="350"/>
      <c r="F338" s="3"/>
      <c r="G338" s="350"/>
      <c r="H338" s="3"/>
      <c r="I338" s="3"/>
      <c r="J338" s="350"/>
      <c r="K338" s="3"/>
      <c r="L338" s="350"/>
      <c r="M338" s="349"/>
      <c r="N338" s="3"/>
      <c r="O338" s="3"/>
      <c r="P338" s="3"/>
      <c r="Q338" s="3"/>
      <c r="R338" s="3"/>
    </row>
    <row r="339" ht="13.5" thickTop="1"/>
    <row r="340" ht="12.75">
      <c r="K340" s="351"/>
    </row>
    <row r="341" ht="12.75"/>
    <row r="342" ht="12.75">
      <c r="J342" s="352"/>
    </row>
  </sheetData>
  <sheetProtection/>
  <mergeCells count="1">
    <mergeCell ref="N18:O19"/>
  </mergeCells>
  <conditionalFormatting sqref="E171">
    <cfRule type="cellIs" priority="1" dxfId="1" operator="lessThan" stopIfTrue="1">
      <formula>1300</formula>
    </cfRule>
    <cfRule type="cellIs" priority="2" dxfId="1" operator="greaterThan" stopIfTrue="1">
      <formula>1400</formula>
    </cfRule>
    <cfRule type="cellIs" priority="3" dxfId="0" operator="greaterThan" stopIfTrue="1">
      <formula>1400</formula>
    </cfRule>
  </conditionalFormatting>
  <printOptions gridLines="1" horizontalCentered="1"/>
  <pageMargins left="0.5" right="0.5" top="0.6097222222222223" bottom="0.65" header="0.5118055555555555" footer="0"/>
  <pageSetup fitToHeight="0" fitToWidth="1" horizontalDpi="300" verticalDpi="300" orientation="landscape" scale="46"/>
  <headerFooter alignWithMargins="0">
    <oddFooter>&amp;C&amp;F&amp;RPage &amp;P of &amp;N</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66"/>
  <sheetViews>
    <sheetView zoomScalePageLayoutView="0" workbookViewId="0" topLeftCell="A19">
      <selection activeCell="H14" sqref="H14"/>
    </sheetView>
  </sheetViews>
  <sheetFormatPr defaultColWidth="11.57421875" defaultRowHeight="12.75"/>
  <cols>
    <col min="1" max="1" width="15.00390625" style="0" customWidth="1"/>
    <col min="2" max="2" width="15.421875" style="0" bestFit="1" customWidth="1"/>
    <col min="3" max="3" width="18.28125" style="0" customWidth="1"/>
    <col min="4" max="4" width="14.00390625" style="0" customWidth="1"/>
    <col min="5" max="5" width="14.8515625" style="0" customWidth="1"/>
    <col min="6" max="6" width="11.140625" style="0" customWidth="1"/>
    <col min="7" max="8" width="11.421875" style="0" customWidth="1"/>
    <col min="9" max="9" width="14.28125" style="0" customWidth="1"/>
    <col min="10" max="10" width="11.421875" style="0" customWidth="1"/>
    <col min="11" max="11" width="13.28125" style="0" customWidth="1"/>
    <col min="12" max="12" width="14.140625" style="0" customWidth="1"/>
    <col min="13" max="16384" width="11.421875" style="0" customWidth="1"/>
  </cols>
  <sheetData>
    <row r="1" spans="1:4" ht="15">
      <c r="A1" s="195" t="s">
        <v>941</v>
      </c>
      <c r="C1" s="6" t="s">
        <v>493</v>
      </c>
      <c r="D1" s="413">
        <v>40155</v>
      </c>
    </row>
    <row r="2" spans="1:2" ht="16.5">
      <c r="A2" s="211" t="str">
        <f>Trim!B2</f>
        <v>MS</v>
      </c>
      <c r="B2" s="414">
        <f>Cal!D1</f>
        <v>513</v>
      </c>
    </row>
    <row r="3" spans="1:3" ht="12">
      <c r="A3" s="353" t="s">
        <v>944</v>
      </c>
      <c r="B3" s="35" t="s">
        <v>494</v>
      </c>
      <c r="C3" s="35"/>
    </row>
    <row r="4" spans="1:6" ht="12">
      <c r="A4" s="353" t="s">
        <v>945</v>
      </c>
      <c r="B4" s="35" t="s">
        <v>495</v>
      </c>
      <c r="C4" s="35"/>
      <c r="D4" s="353" t="s">
        <v>496</v>
      </c>
      <c r="E4" s="400"/>
      <c r="F4" s="400"/>
    </row>
    <row r="5" spans="1:6" ht="12">
      <c r="A5" s="353" t="s">
        <v>946</v>
      </c>
      <c r="B5" s="893" t="str">
        <f>'Weight sheet'!H244</f>
        <v>253664</v>
      </c>
      <c r="C5" s="415"/>
      <c r="D5" s="1031" t="s">
        <v>497</v>
      </c>
      <c r="E5" s="1031"/>
      <c r="F5" s="472">
        <v>2.495</v>
      </c>
    </row>
    <row r="6" spans="1:6" ht="12">
      <c r="A6" s="353" t="s">
        <v>947</v>
      </c>
      <c r="B6" s="470">
        <v>40049</v>
      </c>
      <c r="C6" s="416"/>
      <c r="D6" s="1031" t="s">
        <v>498</v>
      </c>
      <c r="E6" s="1031"/>
      <c r="F6" s="473">
        <v>1.487135887146E-07</v>
      </c>
    </row>
    <row r="7" spans="1:6" ht="12">
      <c r="A7" s="353" t="s">
        <v>948</v>
      </c>
      <c r="B7" s="476">
        <v>128</v>
      </c>
      <c r="C7" s="12" t="s">
        <v>571</v>
      </c>
      <c r="D7" s="1031" t="s">
        <v>499</v>
      </c>
      <c r="E7" s="1031"/>
      <c r="F7" s="357">
        <v>6724335.07014028</v>
      </c>
    </row>
    <row r="8" spans="1:6" ht="12">
      <c r="A8" s="417" t="s">
        <v>950</v>
      </c>
      <c r="B8" s="476">
        <v>14.7</v>
      </c>
      <c r="C8" s="12" t="s">
        <v>572</v>
      </c>
      <c r="D8" t="s">
        <v>500</v>
      </c>
      <c r="F8" s="474">
        <f>2^24</f>
        <v>16777216</v>
      </c>
    </row>
    <row r="9" spans="1:6" ht="12">
      <c r="A9" s="353" t="s">
        <v>903</v>
      </c>
      <c r="B9" s="476">
        <v>0</v>
      </c>
      <c r="C9" s="12" t="s">
        <v>437</v>
      </c>
      <c r="D9" s="418" t="s">
        <v>617</v>
      </c>
      <c r="F9" s="475" t="s">
        <v>618</v>
      </c>
    </row>
    <row r="10" spans="1:6" ht="12">
      <c r="A10" s="1031"/>
      <c r="B10" s="1031"/>
      <c r="C10" s="400"/>
      <c r="D10" s="400"/>
      <c r="E10" s="400"/>
      <c r="F10" s="400"/>
    </row>
    <row r="11" spans="1:6" ht="12">
      <c r="A11" s="353" t="s">
        <v>510</v>
      </c>
      <c r="B11" s="419"/>
      <c r="C11" s="353"/>
      <c r="D11" s="353"/>
      <c r="E11" s="420"/>
      <c r="F11" s="353"/>
    </row>
    <row r="12" spans="1:6" ht="12">
      <c r="A12" s="1031" t="s">
        <v>511</v>
      </c>
      <c r="B12" s="1031"/>
      <c r="C12" s="400"/>
      <c r="D12" s="400"/>
      <c r="E12" s="400"/>
      <c r="F12" s="400"/>
    </row>
    <row r="13" spans="1:6" ht="12">
      <c r="A13" s="1032" t="s">
        <v>512</v>
      </c>
      <c r="B13" s="1032"/>
      <c r="C13" s="400"/>
      <c r="D13" s="400"/>
      <c r="E13" s="400"/>
      <c r="F13" s="400"/>
    </row>
    <row r="14" spans="1:6" ht="12">
      <c r="A14" s="421" t="s">
        <v>513</v>
      </c>
      <c r="B14" s="1030" t="s">
        <v>514</v>
      </c>
      <c r="C14" s="1030"/>
      <c r="D14" s="1030" t="s">
        <v>515</v>
      </c>
      <c r="E14" s="1030"/>
      <c r="F14" s="400"/>
    </row>
    <row r="15" spans="1:6" ht="12">
      <c r="A15" s="421" t="s">
        <v>516</v>
      </c>
      <c r="B15" s="421" t="s">
        <v>517</v>
      </c>
      <c r="C15" s="421" t="s">
        <v>518</v>
      </c>
      <c r="D15" s="421" t="s">
        <v>517</v>
      </c>
      <c r="E15" s="421" t="s">
        <v>518</v>
      </c>
      <c r="F15" s="400"/>
    </row>
    <row r="16" spans="1:6" ht="12">
      <c r="A16" s="38">
        <v>0</v>
      </c>
      <c r="B16" s="907">
        <v>0.7640542757548355</v>
      </c>
      <c r="C16" s="907">
        <v>0.7699496195059828</v>
      </c>
      <c r="D16" s="907">
        <v>0.7273416421906403</v>
      </c>
      <c r="E16" s="907">
        <v>0.7438254354756116</v>
      </c>
      <c r="F16" s="400"/>
    </row>
    <row r="17" spans="1:6" ht="12">
      <c r="A17" s="38">
        <v>300</v>
      </c>
      <c r="B17" s="907">
        <v>6.785393603941742</v>
      </c>
      <c r="C17" s="907">
        <v>6.798466583406246</v>
      </c>
      <c r="D17" s="907">
        <v>6.7502830100216205</v>
      </c>
      <c r="E17" s="907">
        <v>6.773989843376792</v>
      </c>
      <c r="F17" s="400"/>
    </row>
    <row r="18" spans="1:6" ht="12">
      <c r="A18" s="38">
        <v>600</v>
      </c>
      <c r="B18" s="907">
        <v>12.799641831100821</v>
      </c>
      <c r="C18" s="907">
        <v>12.816127922970713</v>
      </c>
      <c r="D18" s="907">
        <v>12.774146409198579</v>
      </c>
      <c r="E18" s="907">
        <v>12.79360189150022</v>
      </c>
      <c r="F18" s="400"/>
    </row>
    <row r="19" spans="1:6" ht="12">
      <c r="A19" s="38">
        <v>900</v>
      </c>
      <c r="B19" s="907">
        <v>18.78963810872384</v>
      </c>
      <c r="C19" s="907">
        <v>18.802345351795406</v>
      </c>
      <c r="D19" s="907">
        <v>18.77437419598615</v>
      </c>
      <c r="E19" s="907">
        <v>18.786871255636783</v>
      </c>
      <c r="F19" s="400"/>
    </row>
    <row r="20" spans="1:6" ht="12">
      <c r="A20" s="38">
        <v>1200</v>
      </c>
      <c r="B20" s="907">
        <v>24.753908069234747</v>
      </c>
      <c r="C20" s="907">
        <v>24.760878647059364</v>
      </c>
      <c r="D20" s="907">
        <v>24.75055390766711</v>
      </c>
      <c r="E20" s="907">
        <v>24.752595977401796</v>
      </c>
      <c r="F20" s="400"/>
    </row>
    <row r="21" spans="1:6" ht="12">
      <c r="A21" s="38">
        <v>1500</v>
      </c>
      <c r="B21" s="907">
        <v>30.692914491986087</v>
      </c>
      <c r="C21" s="907"/>
      <c r="D21" s="907">
        <v>30.691700183529512</v>
      </c>
      <c r="E21" s="907"/>
      <c r="F21" s="400"/>
    </row>
    <row r="22" spans="1:6" ht="12">
      <c r="A22" s="400"/>
      <c r="B22" s="400"/>
      <c r="C22" s="400"/>
      <c r="D22" s="400"/>
      <c r="E22" s="400"/>
      <c r="F22" s="400"/>
    </row>
    <row r="23" spans="1:6" ht="12">
      <c r="A23" s="1031" t="s">
        <v>519</v>
      </c>
      <c r="B23" s="1031"/>
      <c r="C23" s="1031"/>
      <c r="D23" s="1031"/>
      <c r="E23" s="1031"/>
      <c r="F23" s="1031"/>
    </row>
    <row r="24" spans="1:6" ht="12">
      <c r="A24" s="421" t="s">
        <v>516</v>
      </c>
      <c r="B24" s="421" t="s">
        <v>520</v>
      </c>
      <c r="C24" s="422"/>
      <c r="D24" s="421" t="s">
        <v>520</v>
      </c>
      <c r="E24" s="422"/>
      <c r="F24" s="400"/>
    </row>
    <row r="25" spans="1:6" ht="12">
      <c r="A25" s="38">
        <v>0</v>
      </c>
      <c r="B25" s="423">
        <f>((B16+C16)/2)/2</f>
        <v>0.3835009738152046</v>
      </c>
      <c r="C25" s="38"/>
      <c r="D25" s="423">
        <f>((D16+E16)/2)/2</f>
        <v>0.367791769416563</v>
      </c>
      <c r="E25" s="422"/>
      <c r="F25" s="400"/>
    </row>
    <row r="26" spans="1:6" ht="12">
      <c r="A26" s="38">
        <v>300</v>
      </c>
      <c r="B26" s="423">
        <f>((B17+C17)/2)/2</f>
        <v>3.395965046836997</v>
      </c>
      <c r="C26" s="38"/>
      <c r="D26" s="423">
        <f>((D17+E17)/2)/2</f>
        <v>3.381068213349603</v>
      </c>
      <c r="E26" s="422"/>
      <c r="F26" s="400"/>
    </row>
    <row r="27" spans="1:6" ht="12">
      <c r="A27" s="38">
        <v>600</v>
      </c>
      <c r="B27" s="423">
        <f>((B18+C18)/2)/2</f>
        <v>6.403942438517884</v>
      </c>
      <c r="C27" s="38"/>
      <c r="D27" s="423">
        <f>((D18+E18)/2)/2</f>
        <v>6.3919370751747</v>
      </c>
      <c r="E27" s="422"/>
      <c r="F27" s="400"/>
    </row>
    <row r="28" spans="1:6" ht="12">
      <c r="A28" s="38">
        <v>900</v>
      </c>
      <c r="B28" s="423">
        <f>((B19+C19)/2)/2</f>
        <v>9.397995865129811</v>
      </c>
      <c r="C28" s="38"/>
      <c r="D28" s="423">
        <f>((D19+E19)/2)/2</f>
        <v>9.390311362905734</v>
      </c>
      <c r="E28" s="422"/>
      <c r="F28" s="400"/>
    </row>
    <row r="29" spans="1:6" ht="12">
      <c r="A29" s="38">
        <v>1200</v>
      </c>
      <c r="B29" s="423">
        <f>((B20+C20)/2)/2</f>
        <v>12.378696679073528</v>
      </c>
      <c r="C29" s="38"/>
      <c r="D29" s="423">
        <f>((D20+E20)/2)/2</f>
        <v>12.375787471267227</v>
      </c>
      <c r="E29" s="422"/>
      <c r="F29" s="400"/>
    </row>
    <row r="30" spans="1:6" ht="12">
      <c r="A30" s="38">
        <v>1500</v>
      </c>
      <c r="B30" s="423">
        <f>(B21)/2</f>
        <v>15.346457245993044</v>
      </c>
      <c r="C30" s="38"/>
      <c r="D30" s="423">
        <f>(D21)/2</f>
        <v>15.345850091764756</v>
      </c>
      <c r="E30" s="422"/>
      <c r="F30" s="400"/>
    </row>
    <row r="31" spans="1:6" ht="12">
      <c r="A31" s="400"/>
      <c r="B31" s="400"/>
      <c r="C31" s="400"/>
      <c r="D31" s="400"/>
      <c r="E31" s="400"/>
      <c r="F31" s="400"/>
    </row>
    <row r="32" spans="1:6" ht="12">
      <c r="A32" s="400"/>
      <c r="B32" s="400"/>
      <c r="C32" s="400"/>
      <c r="D32" s="400"/>
      <c r="E32" s="400"/>
      <c r="F32" s="400"/>
    </row>
    <row r="33" spans="1:6" ht="12">
      <c r="A33" s="353" t="s">
        <v>386</v>
      </c>
      <c r="B33" s="400"/>
      <c r="C33" s="353" t="s">
        <v>387</v>
      </c>
      <c r="D33" s="400"/>
      <c r="E33" s="400"/>
      <c r="F33" s="400"/>
    </row>
    <row r="34" spans="1:6" ht="12">
      <c r="A34" s="421" t="s">
        <v>513</v>
      </c>
      <c r="B34" s="421" t="s">
        <v>388</v>
      </c>
      <c r="C34" s="421" t="s">
        <v>513</v>
      </c>
      <c r="D34" s="421" t="s">
        <v>388</v>
      </c>
      <c r="E34" s="400"/>
      <c r="F34" s="400"/>
    </row>
    <row r="35" spans="1:6" ht="12">
      <c r="A35" s="421" t="s">
        <v>516</v>
      </c>
      <c r="B35" s="421" t="s">
        <v>389</v>
      </c>
      <c r="C35" s="421" t="s">
        <v>516</v>
      </c>
      <c r="D35" s="421" t="s">
        <v>389</v>
      </c>
      <c r="E35" s="400"/>
      <c r="F35" s="400"/>
    </row>
    <row r="36" spans="1:6" ht="12">
      <c r="A36" s="38">
        <v>0</v>
      </c>
      <c r="B36" s="424">
        <f aca="true" t="shared" si="0" ref="B36:B41">(B25*$B$7)*$F$7/1000</f>
        <v>330084.99810029176</v>
      </c>
      <c r="C36" s="38">
        <v>0</v>
      </c>
      <c r="D36" s="424">
        <f aca="true" t="shared" si="1" ref="D36:D41">(D25*$B$7)*$F$7/1000</f>
        <v>316563.8519803829</v>
      </c>
      <c r="E36" s="400"/>
      <c r="F36" s="400"/>
    </row>
    <row r="37" spans="1:6" ht="12">
      <c r="A37" s="38">
        <v>300</v>
      </c>
      <c r="B37" s="424">
        <f t="shared" si="0"/>
        <v>2922957.6782613243</v>
      </c>
      <c r="C37" s="38">
        <v>300</v>
      </c>
      <c r="D37" s="424">
        <f t="shared" si="1"/>
        <v>2910135.7518800986</v>
      </c>
      <c r="E37" s="400"/>
      <c r="F37" s="400"/>
    </row>
    <row r="38" spans="1:6" ht="12">
      <c r="A38" s="38">
        <v>600</v>
      </c>
      <c r="B38" s="424">
        <f t="shared" si="0"/>
        <v>5511968.60499014</v>
      </c>
      <c r="C38" s="38">
        <v>600</v>
      </c>
      <c r="D38" s="424">
        <f t="shared" si="1"/>
        <v>5501635.410013071</v>
      </c>
      <c r="E38" s="400"/>
      <c r="F38" s="400"/>
    </row>
    <row r="39" spans="1:6" ht="12">
      <c r="A39" s="38">
        <v>900</v>
      </c>
      <c r="B39" s="424">
        <f t="shared" si="0"/>
        <v>8088994.967670493</v>
      </c>
      <c r="C39" s="38">
        <v>900</v>
      </c>
      <c r="D39" s="424">
        <f t="shared" si="1"/>
        <v>8082380.802191846</v>
      </c>
      <c r="E39" s="400"/>
      <c r="F39" s="400"/>
    </row>
    <row r="40" spans="1:6" ht="12">
      <c r="A40" s="38">
        <v>1200</v>
      </c>
      <c r="B40" s="424">
        <f t="shared" si="0"/>
        <v>10654528.537820563</v>
      </c>
      <c r="C40" s="38">
        <v>1200</v>
      </c>
      <c r="D40" s="424">
        <f t="shared" si="1"/>
        <v>10652024.539346548</v>
      </c>
      <c r="E40" s="400"/>
      <c r="F40" s="400"/>
    </row>
    <row r="41" spans="1:6" ht="12">
      <c r="A41" s="38">
        <v>1500</v>
      </c>
      <c r="B41" s="424">
        <f t="shared" si="0"/>
        <v>13208924.244689848</v>
      </c>
      <c r="C41" s="38">
        <v>1500</v>
      </c>
      <c r="D41" s="424">
        <f t="shared" si="1"/>
        <v>13208401.658005655</v>
      </c>
      <c r="E41" s="400"/>
      <c r="F41" s="400"/>
    </row>
    <row r="42" spans="1:6" ht="12">
      <c r="A42" s="400"/>
      <c r="B42" s="400"/>
      <c r="C42" s="400"/>
      <c r="D42" s="400"/>
      <c r="E42" s="400"/>
      <c r="F42" s="400"/>
    </row>
    <row r="43" spans="1:6" ht="12">
      <c r="A43" s="1034" t="s">
        <v>390</v>
      </c>
      <c r="B43" s="1034"/>
      <c r="C43" s="1034"/>
      <c r="D43" s="426"/>
      <c r="E43" s="400"/>
      <c r="F43" s="400"/>
    </row>
    <row r="44" spans="1:6" ht="12">
      <c r="A44" s="1033" t="s">
        <v>391</v>
      </c>
      <c r="B44" s="1033"/>
      <c r="C44" s="428"/>
      <c r="D44" s="429"/>
      <c r="E44" s="400"/>
      <c r="F44" s="400"/>
    </row>
    <row r="45" spans="1:6" ht="12">
      <c r="A45" s="430" t="s">
        <v>386</v>
      </c>
      <c r="B45" s="431"/>
      <c r="C45" s="430" t="s">
        <v>387</v>
      </c>
      <c r="D45" s="432"/>
      <c r="E45" s="400"/>
      <c r="F45" s="400"/>
    </row>
    <row r="46" spans="1:6" ht="12">
      <c r="A46" s="433" t="s">
        <v>392</v>
      </c>
      <c r="B46" s="434">
        <f>SLOPE(A36:A41,B36:B41)</f>
        <v>0.00011645097333882043</v>
      </c>
      <c r="C46" s="433" t="s">
        <v>392</v>
      </c>
      <c r="D46" s="435">
        <f>SLOPE(C36:C41,D36:D41)</f>
        <v>0.00011632247319755325</v>
      </c>
      <c r="E46" s="400"/>
      <c r="F46" s="400"/>
    </row>
    <row r="47" spans="1:6" ht="12">
      <c r="A47" s="436" t="s">
        <v>393</v>
      </c>
      <c r="B47" s="437">
        <f>INTERCEPT(A36:A41,B36:B41)</f>
        <v>-40.26462268425382</v>
      </c>
      <c r="C47" s="436" t="s">
        <v>393</v>
      </c>
      <c r="D47" s="438">
        <f>INTERCEPT(C36:C41,D36:D41)</f>
        <v>-38.49463779494181</v>
      </c>
      <c r="E47" s="400"/>
      <c r="F47" s="400"/>
    </row>
    <row r="48" spans="1:6" ht="12">
      <c r="A48" s="439"/>
      <c r="B48" s="440"/>
      <c r="C48" s="439"/>
      <c r="D48" s="440"/>
      <c r="E48" s="400"/>
      <c r="F48" s="400"/>
    </row>
    <row r="49" spans="1:6" ht="12">
      <c r="A49" s="400"/>
      <c r="B49" s="400"/>
      <c r="C49" s="400"/>
      <c r="D49" s="400"/>
      <c r="E49" s="400"/>
      <c r="F49" s="400"/>
    </row>
    <row r="50" spans="1:6" ht="12">
      <c r="A50" s="1035" t="s">
        <v>394</v>
      </c>
      <c r="B50" s="1035"/>
      <c r="C50" s="400"/>
      <c r="D50" s="1035" t="s">
        <v>395</v>
      </c>
      <c r="E50" s="1035"/>
      <c r="F50" s="400"/>
    </row>
    <row r="51" spans="1:6" ht="12">
      <c r="A51" s="46" t="s">
        <v>953</v>
      </c>
      <c r="B51" s="46" t="s">
        <v>396</v>
      </c>
      <c r="C51" s="46" t="s">
        <v>397</v>
      </c>
      <c r="D51" s="46" t="s">
        <v>953</v>
      </c>
      <c r="E51" s="46" t="s">
        <v>396</v>
      </c>
      <c r="F51" s="46" t="s">
        <v>397</v>
      </c>
    </row>
    <row r="52" spans="1:6" ht="12">
      <c r="A52" s="46" t="s">
        <v>516</v>
      </c>
      <c r="B52" s="46" t="s">
        <v>516</v>
      </c>
      <c r="C52" s="46"/>
      <c r="D52" s="46" t="s">
        <v>516</v>
      </c>
      <c r="E52" s="46" t="s">
        <v>516</v>
      </c>
      <c r="F52" s="46"/>
    </row>
    <row r="53" spans="1:6" ht="12">
      <c r="A53" s="422">
        <v>0</v>
      </c>
      <c r="B53" s="441">
        <f aca="true" t="shared" si="2" ref="B53:B58">B36*$B$46+$B$47</f>
        <v>-1.8259033709321528</v>
      </c>
      <c r="C53" s="442"/>
      <c r="D53" s="422">
        <v>0</v>
      </c>
      <c r="E53" s="441">
        <f aca="true" t="shared" si="3" ref="E53:E58">D36*$D$46+$D$47</f>
        <v>-1.6711476076395044</v>
      </c>
      <c r="F53" s="442"/>
    </row>
    <row r="54" spans="1:6" ht="12">
      <c r="A54" s="422">
        <v>300</v>
      </c>
      <c r="B54" s="441">
        <f t="shared" si="2"/>
        <v>300.11664397745614</v>
      </c>
      <c r="C54" s="443">
        <f>(A54-B54)/A54</f>
        <v>-0.00038881325818711807</v>
      </c>
      <c r="D54" s="422">
        <v>300</v>
      </c>
      <c r="E54" s="441">
        <f t="shared" si="3"/>
        <v>300.0195502043724</v>
      </c>
      <c r="F54" s="443">
        <f>(D54-E54)/D54</f>
        <v>-6.516734790807277E-05</v>
      </c>
    </row>
    <row r="55" spans="1:6" ht="12">
      <c r="A55" s="422">
        <v>600</v>
      </c>
      <c r="B55" s="441">
        <f t="shared" si="2"/>
        <v>601.6094863798681</v>
      </c>
      <c r="C55" s="443">
        <f>(A55-B55)/A55</f>
        <v>-0.002682477299780241</v>
      </c>
      <c r="D55" s="422">
        <v>600</v>
      </c>
      <c r="E55" s="441">
        <f t="shared" si="3"/>
        <v>601.4691997290136</v>
      </c>
      <c r="F55" s="443">
        <f>(D55-E55)/D55</f>
        <v>-0.0024486662150225887</v>
      </c>
    </row>
    <row r="56" spans="1:6" ht="12">
      <c r="A56" s="422">
        <v>900</v>
      </c>
      <c r="B56" s="441">
        <f t="shared" si="2"/>
        <v>901.7067146337954</v>
      </c>
      <c r="C56" s="443">
        <f>(A56-B56)/A56</f>
        <v>-0.001896349593106</v>
      </c>
      <c r="D56" s="422">
        <v>900</v>
      </c>
      <c r="E56" s="441">
        <f t="shared" si="3"/>
        <v>901.6678864404381</v>
      </c>
      <c r="F56" s="443">
        <f>(D56-E56)/D56</f>
        <v>-0.0018532071560423446</v>
      </c>
    </row>
    <row r="57" spans="1:6" ht="12">
      <c r="A57" s="422">
        <v>1200</v>
      </c>
      <c r="B57" s="441">
        <f t="shared" si="2"/>
        <v>1200.46559601119</v>
      </c>
      <c r="C57" s="443">
        <f>(A57-B57)/A57</f>
        <v>-0.0003879966759916442</v>
      </c>
      <c r="D57" s="422">
        <v>1200</v>
      </c>
      <c r="E57" s="441">
        <f t="shared" si="3"/>
        <v>1200.5752011828765</v>
      </c>
      <c r="F57" s="443">
        <f>(D57-E57)/D57</f>
        <v>-0.00047933431906377186</v>
      </c>
    </row>
    <row r="58" spans="1:6" ht="12">
      <c r="A58" s="422">
        <v>1500</v>
      </c>
      <c r="B58" s="441">
        <f t="shared" si="2"/>
        <v>1497.9274623686224</v>
      </c>
      <c r="C58" s="443">
        <f>(A58-B58)/A58</f>
        <v>0.0013816917542517331</v>
      </c>
      <c r="D58" s="422">
        <v>1500</v>
      </c>
      <c r="E58" s="441">
        <f t="shared" si="3"/>
        <v>1497.9393100509387</v>
      </c>
      <c r="F58" s="443">
        <f>(D58-E58)/D58</f>
        <v>0.0013737932993741803</v>
      </c>
    </row>
    <row r="59" spans="1:6" ht="12">
      <c r="A59" s="400"/>
      <c r="B59" s="400"/>
      <c r="C59" s="400"/>
      <c r="D59" s="400"/>
      <c r="E59" s="400"/>
      <c r="F59" s="400"/>
    </row>
    <row r="60" spans="1:6" ht="12">
      <c r="A60" s="1036" t="s">
        <v>398</v>
      </c>
      <c r="B60" s="1036"/>
      <c r="C60" s="1036"/>
      <c r="D60" s="1036"/>
      <c r="E60" s="444"/>
      <c r="F60" s="400"/>
    </row>
    <row r="61" spans="1:6" ht="12">
      <c r="A61" s="1034" t="s">
        <v>399</v>
      </c>
      <c r="B61" s="1034"/>
      <c r="C61" s="1034"/>
      <c r="D61" s="445"/>
      <c r="E61" s="426"/>
      <c r="F61" s="400"/>
    </row>
    <row r="62" spans="1:6" ht="12">
      <c r="A62" s="1033" t="s">
        <v>400</v>
      </c>
      <c r="B62" s="1033"/>
      <c r="C62" s="446"/>
      <c r="D62" s="447"/>
      <c r="E62" s="448"/>
      <c r="F62" s="400"/>
    </row>
    <row r="63" spans="1:6" ht="12">
      <c r="A63" s="430" t="s">
        <v>386</v>
      </c>
      <c r="B63" s="449"/>
      <c r="C63" s="428"/>
      <c r="D63" s="430" t="s">
        <v>387</v>
      </c>
      <c r="E63" s="432"/>
      <c r="F63" s="400"/>
    </row>
    <row r="64" spans="1:6" ht="12">
      <c r="A64" s="450" t="s">
        <v>392</v>
      </c>
      <c r="B64" s="451">
        <f>B46</f>
        <v>0.00011645097333882043</v>
      </c>
      <c r="C64" s="452"/>
      <c r="D64" s="425" t="s">
        <v>392</v>
      </c>
      <c r="E64" s="453">
        <f>D46</f>
        <v>0.00011632247319755325</v>
      </c>
      <c r="F64" s="400"/>
    </row>
    <row r="65" spans="1:6" ht="12">
      <c r="A65" s="450" t="s">
        <v>393</v>
      </c>
      <c r="B65" s="451">
        <f>B47-B8</f>
        <v>-54.964622684253825</v>
      </c>
      <c r="C65" s="452"/>
      <c r="D65" s="450" t="s">
        <v>393</v>
      </c>
      <c r="E65" s="451">
        <f>E47-B8</f>
        <v>-14.7</v>
      </c>
      <c r="F65" s="400"/>
    </row>
    <row r="66" spans="1:6" ht="12">
      <c r="A66" s="427" t="s">
        <v>909</v>
      </c>
      <c r="B66" s="454">
        <f>B65*0.685</f>
        <v>-37.650766538713874</v>
      </c>
      <c r="C66" s="446"/>
      <c r="D66" s="427" t="s">
        <v>909</v>
      </c>
      <c r="E66" s="454">
        <f>E65*0.685</f>
        <v>-10.0695</v>
      </c>
      <c r="F66" s="400"/>
    </row>
  </sheetData>
  <sheetProtection/>
  <mergeCells count="16">
    <mergeCell ref="A62:B62"/>
    <mergeCell ref="A23:F23"/>
    <mergeCell ref="A43:C43"/>
    <mergeCell ref="A44:B44"/>
    <mergeCell ref="A50:B50"/>
    <mergeCell ref="D50:E50"/>
    <mergeCell ref="A60:D60"/>
    <mergeCell ref="A61:C61"/>
    <mergeCell ref="B14:C14"/>
    <mergeCell ref="D14:E14"/>
    <mergeCell ref="D5:E5"/>
    <mergeCell ref="D6:E6"/>
    <mergeCell ref="D7:E7"/>
    <mergeCell ref="A10:B10"/>
    <mergeCell ref="A12:B12"/>
    <mergeCell ref="A13:B13"/>
  </mergeCells>
  <printOptions/>
  <pageMargins left="0.7479166666666667" right="0.7479166666666667" top="0.9840277777777777" bottom="0.9840277777777777" header="0.5118055555555555" footer="0.5"/>
  <pageSetup fitToHeight="1" fitToWidth="1" horizontalDpi="300" verticalDpi="300" orientation="portrait" scale="78"/>
  <headerFooter alignWithMargins="0">
    <oddFooter>&amp;C&amp;F&amp;R&amp;P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41"/>
  <sheetViews>
    <sheetView zoomScalePageLayoutView="0" workbookViewId="0" topLeftCell="A1">
      <selection activeCell="P16" sqref="P16"/>
    </sheetView>
  </sheetViews>
  <sheetFormatPr defaultColWidth="8.8515625" defaultRowHeight="12.75"/>
  <cols>
    <col min="1" max="1" width="20.421875" style="0" customWidth="1"/>
    <col min="2" max="2" width="8.8515625" style="0" customWidth="1"/>
    <col min="3" max="3" width="10.00390625" style="0" customWidth="1"/>
  </cols>
  <sheetData>
    <row r="1" spans="1:7" ht="12">
      <c r="A1" s="353" t="s">
        <v>548</v>
      </c>
      <c r="B1" s="354" t="str">
        <f>Trim!B2</f>
        <v>MS</v>
      </c>
      <c r="C1" s="355">
        <f>Cal!D1</f>
        <v>513</v>
      </c>
      <c r="F1" s="11"/>
      <c r="G1" s="356"/>
    </row>
    <row r="2" spans="2:6" ht="12">
      <c r="B2" s="11" t="s">
        <v>549</v>
      </c>
      <c r="C2" s="927">
        <v>40168</v>
      </c>
      <c r="E2" s="354" t="s">
        <v>431</v>
      </c>
      <c r="F2" s="405" t="s">
        <v>238</v>
      </c>
    </row>
    <row r="3" spans="2:10" ht="12">
      <c r="B3" s="11" t="s">
        <v>550</v>
      </c>
      <c r="C3" s="493" t="s">
        <v>224</v>
      </c>
      <c r="E3" s="354" t="s">
        <v>432</v>
      </c>
      <c r="F3" s="926">
        <f>rho_2</f>
        <v>1.0275</v>
      </c>
      <c r="I3" s="60"/>
      <c r="J3" s="357"/>
    </row>
    <row r="4" spans="2:13" ht="12">
      <c r="B4" s="11" t="s">
        <v>551</v>
      </c>
      <c r="C4" s="927" t="s">
        <v>225</v>
      </c>
      <c r="E4" s="354" t="s">
        <v>433</v>
      </c>
      <c r="F4" s="358">
        <v>250</v>
      </c>
      <c r="G4" s="353" t="s">
        <v>957</v>
      </c>
      <c r="I4" s="357"/>
      <c r="J4" s="357"/>
      <c r="K4" s="358"/>
      <c r="L4" s="359"/>
      <c r="M4" s="359"/>
    </row>
    <row r="5" spans="1:11" ht="12">
      <c r="A5" s="51"/>
      <c r="B5" s="360"/>
      <c r="C5" s="1"/>
      <c r="E5" s="51"/>
      <c r="I5" s="60"/>
      <c r="J5" s="60"/>
      <c r="K5" s="60"/>
    </row>
    <row r="6" spans="1:18" ht="12">
      <c r="A6" s="18"/>
      <c r="B6" s="361" t="s">
        <v>552</v>
      </c>
      <c r="C6" s="361" t="s">
        <v>953</v>
      </c>
      <c r="D6" s="362"/>
      <c r="E6" s="363"/>
      <c r="F6" s="362"/>
      <c r="G6" s="362"/>
      <c r="H6" s="362"/>
      <c r="I6" s="362"/>
      <c r="J6" s="362"/>
      <c r="K6" s="362"/>
      <c r="L6" s="362"/>
      <c r="M6" s="361" t="s">
        <v>953</v>
      </c>
      <c r="R6" s="11"/>
    </row>
    <row r="7" spans="1:18" ht="12">
      <c r="A7" s="355" t="s">
        <v>866</v>
      </c>
      <c r="B7" s="1" t="s">
        <v>702</v>
      </c>
      <c r="C7" s="1" t="s">
        <v>553</v>
      </c>
      <c r="M7" s="1" t="s">
        <v>554</v>
      </c>
      <c r="R7" s="11"/>
    </row>
    <row r="8" spans="1:18" ht="12">
      <c r="A8" s="11" t="s">
        <v>555</v>
      </c>
      <c r="B8" s="364">
        <v>4</v>
      </c>
      <c r="C8" s="25" t="s">
        <v>556</v>
      </c>
      <c r="D8" s="25" t="s">
        <v>557</v>
      </c>
      <c r="E8" s="25" t="s">
        <v>558</v>
      </c>
      <c r="F8" s="25" t="s">
        <v>559</v>
      </c>
      <c r="G8" s="25" t="s">
        <v>560</v>
      </c>
      <c r="H8" s="25" t="s">
        <v>561</v>
      </c>
      <c r="I8" s="25" t="s">
        <v>562</v>
      </c>
      <c r="J8" s="25" t="s">
        <v>563</v>
      </c>
      <c r="K8" s="25" t="s">
        <v>564</v>
      </c>
      <c r="L8" s="25" t="s">
        <v>565</v>
      </c>
      <c r="M8" s="38"/>
      <c r="P8" s="359"/>
      <c r="R8" s="11"/>
    </row>
    <row r="9" spans="1:13" ht="12">
      <c r="A9" s="11" t="s">
        <v>566</v>
      </c>
      <c r="B9" s="365">
        <f>Trim!F65</f>
        <v>247.5</v>
      </c>
      <c r="C9" s="366"/>
      <c r="D9" s="366"/>
      <c r="E9" s="367"/>
      <c r="F9" s="367"/>
      <c r="G9" s="367"/>
      <c r="H9" s="367"/>
      <c r="I9" s="367"/>
      <c r="J9" s="367"/>
      <c r="K9" s="367"/>
      <c r="L9" s="367"/>
      <c r="M9" s="368">
        <f>SUM(C9:I9)</f>
        <v>0</v>
      </c>
    </row>
    <row r="10" spans="1:13" ht="12">
      <c r="A10" s="11" t="s">
        <v>567</v>
      </c>
      <c r="B10" s="367">
        <v>23.4</v>
      </c>
      <c r="C10" s="369"/>
      <c r="D10" s="370"/>
      <c r="E10" s="370"/>
      <c r="F10" s="370"/>
      <c r="G10" s="370"/>
      <c r="H10" s="370"/>
      <c r="I10" s="370"/>
      <c r="J10" s="370"/>
      <c r="K10" s="370"/>
      <c r="L10" s="370"/>
      <c r="M10" s="368">
        <f>SUM(C10:I10)</f>
        <v>0</v>
      </c>
    </row>
    <row r="11" spans="1:13" ht="12">
      <c r="A11" s="11"/>
      <c r="B11" s="351"/>
      <c r="C11" s="351"/>
      <c r="D11" s="351"/>
      <c r="E11" s="351"/>
      <c r="F11" s="351"/>
      <c r="G11" s="351"/>
      <c r="H11" s="351"/>
      <c r="I11" s="351"/>
      <c r="J11" s="351"/>
      <c r="K11" s="351"/>
      <c r="L11" s="351"/>
      <c r="M11" s="371"/>
    </row>
    <row r="12" spans="2:13" ht="12">
      <c r="B12" s="1"/>
      <c r="H12" s="372" t="s">
        <v>568</v>
      </c>
      <c r="I12" s="373"/>
      <c r="J12" s="928">
        <f>'Weight sheet'!H9</f>
        <v>7463.4</v>
      </c>
      <c r="K12" s="929" t="s">
        <v>986</v>
      </c>
      <c r="L12" s="373"/>
      <c r="M12" s="362"/>
    </row>
    <row r="13" spans="1:13" ht="12">
      <c r="A13" s="11"/>
      <c r="B13" s="351"/>
      <c r="C13" s="351"/>
      <c r="D13" s="371"/>
      <c r="E13" s="351"/>
      <c r="F13" s="351"/>
      <c r="G13" s="351"/>
      <c r="H13" s="351"/>
      <c r="I13" s="351"/>
      <c r="J13" s="351"/>
      <c r="K13" s="351"/>
      <c r="L13" s="351"/>
      <c r="M13" s="371"/>
    </row>
    <row r="14" spans="1:13" ht="27" customHeight="1">
      <c r="A14" s="374" t="s">
        <v>573</v>
      </c>
      <c r="B14" s="375"/>
      <c r="C14" s="376" t="s">
        <v>574</v>
      </c>
      <c r="G14" s="377" t="s">
        <v>575</v>
      </c>
      <c r="K14" s="378" t="s">
        <v>576</v>
      </c>
      <c r="L14" s="18"/>
      <c r="M14" s="379"/>
    </row>
    <row r="15" spans="1:16" ht="12">
      <c r="A15" s="51" t="s">
        <v>438</v>
      </c>
      <c r="B15" s="380">
        <f>Trim!F73</f>
        <v>718.2</v>
      </c>
      <c r="C15" s="381"/>
      <c r="D15" s="38"/>
      <c r="E15" s="382">
        <v>125.6</v>
      </c>
      <c r="F15" s="947">
        <v>128.4</v>
      </c>
      <c r="G15" s="1018">
        <v>175.4</v>
      </c>
      <c r="H15" s="1019">
        <v>154.7</v>
      </c>
      <c r="I15" s="383">
        <v>134.1</v>
      </c>
      <c r="J15" s="383"/>
      <c r="K15" s="382"/>
      <c r="L15" s="384"/>
      <c r="M15" s="368">
        <f aca="true" t="shared" si="0" ref="M15:M35">SUM(C15:L15)</f>
        <v>718.1999999999999</v>
      </c>
      <c r="N15" s="359"/>
      <c r="O15" s="1020"/>
      <c r="P15" t="s">
        <v>114</v>
      </c>
    </row>
    <row r="16" spans="1:13" ht="12">
      <c r="A16" s="11" t="s">
        <v>577</v>
      </c>
      <c r="B16" s="367"/>
      <c r="C16" s="381"/>
      <c r="D16" s="38"/>
      <c r="E16" s="366"/>
      <c r="F16" s="366"/>
      <c r="G16" s="388"/>
      <c r="H16" s="366"/>
      <c r="I16" s="366"/>
      <c r="J16" s="366"/>
      <c r="K16" s="366"/>
      <c r="L16" s="385"/>
      <c r="M16" s="368">
        <f t="shared" si="0"/>
        <v>0</v>
      </c>
    </row>
    <row r="17" spans="1:13" ht="12">
      <c r="A17" s="11" t="s">
        <v>578</v>
      </c>
      <c r="B17" s="367">
        <f>Trim!E74</f>
        <v>103.2</v>
      </c>
      <c r="C17" s="381"/>
      <c r="D17" s="38"/>
      <c r="E17" s="60"/>
      <c r="F17" s="386"/>
      <c r="G17" s="366">
        <v>103.2</v>
      </c>
      <c r="H17" s="366"/>
      <c r="I17" s="366"/>
      <c r="J17" s="386"/>
      <c r="K17" s="366"/>
      <c r="L17" s="385"/>
      <c r="M17" s="368">
        <f t="shared" si="0"/>
        <v>103.2</v>
      </c>
    </row>
    <row r="18" spans="1:13" ht="12">
      <c r="A18" s="51" t="s">
        <v>579</v>
      </c>
      <c r="B18" s="380">
        <f>Trim!F75</f>
        <v>0</v>
      </c>
      <c r="C18" s="367"/>
      <c r="D18" s="387"/>
      <c r="F18" s="1"/>
      <c r="G18" s="388"/>
      <c r="H18" s="388"/>
      <c r="I18" s="389"/>
      <c r="J18" s="388"/>
      <c r="K18" s="388"/>
      <c r="L18" s="367"/>
      <c r="M18" s="368">
        <f>SUM(C18:L18)</f>
        <v>0</v>
      </c>
    </row>
    <row r="19" spans="1:13" ht="12">
      <c r="A19" s="11" t="s">
        <v>577</v>
      </c>
      <c r="B19" s="367">
        <f>SUM(C19:L19)</f>
        <v>0</v>
      </c>
      <c r="C19" s="380"/>
      <c r="D19" s="390"/>
      <c r="E19" s="367"/>
      <c r="G19" s="366"/>
      <c r="H19" s="366"/>
      <c r="I19" s="366"/>
      <c r="J19" s="60"/>
      <c r="K19" s="366"/>
      <c r="L19" s="367"/>
      <c r="M19" s="368">
        <f t="shared" si="0"/>
        <v>0</v>
      </c>
    </row>
    <row r="20" spans="1:13" ht="12">
      <c r="A20" s="11" t="s">
        <v>578</v>
      </c>
      <c r="B20" s="367"/>
      <c r="C20" s="367"/>
      <c r="D20" s="367"/>
      <c r="E20" s="367"/>
      <c r="F20" s="366"/>
      <c r="G20" s="366"/>
      <c r="H20" s="366"/>
      <c r="I20" s="60"/>
      <c r="J20" s="366"/>
      <c r="K20" s="366"/>
      <c r="L20" s="367"/>
      <c r="M20" s="368">
        <f t="shared" si="0"/>
        <v>0</v>
      </c>
    </row>
    <row r="21" spans="1:13" ht="12">
      <c r="A21" s="51" t="s">
        <v>580</v>
      </c>
      <c r="B21" s="380">
        <f>Trim!F76</f>
        <v>0</v>
      </c>
      <c r="C21" s="367"/>
      <c r="D21" s="367"/>
      <c r="E21" s="367"/>
      <c r="F21" s="366"/>
      <c r="G21" s="366"/>
      <c r="H21" s="366"/>
      <c r="I21" s="366"/>
      <c r="J21" s="389"/>
      <c r="K21" s="366"/>
      <c r="L21" s="367"/>
      <c r="M21" s="368">
        <f t="shared" si="0"/>
        <v>0</v>
      </c>
    </row>
    <row r="22" spans="1:13" ht="12">
      <c r="A22" s="11" t="s">
        <v>577</v>
      </c>
      <c r="B22" s="367"/>
      <c r="C22" s="367"/>
      <c r="D22" s="390"/>
      <c r="E22" s="367"/>
      <c r="F22" s="366"/>
      <c r="G22" s="366"/>
      <c r="H22" s="366"/>
      <c r="I22" s="60"/>
      <c r="J22" s="366"/>
      <c r="K22" s="366"/>
      <c r="L22" s="367"/>
      <c r="M22" s="368">
        <f t="shared" si="0"/>
        <v>0</v>
      </c>
    </row>
    <row r="23" spans="1:13" ht="12">
      <c r="A23" s="11" t="s">
        <v>578</v>
      </c>
      <c r="B23" s="367">
        <f>Trim!E77</f>
        <v>0</v>
      </c>
      <c r="C23" s="367"/>
      <c r="D23" s="367"/>
      <c r="E23" s="367"/>
      <c r="F23" s="366"/>
      <c r="G23" s="366"/>
      <c r="H23" s="386"/>
      <c r="I23" s="366"/>
      <c r="J23" s="366"/>
      <c r="K23" s="366"/>
      <c r="L23" s="367"/>
      <c r="M23" s="368">
        <f t="shared" si="0"/>
        <v>0</v>
      </c>
    </row>
    <row r="24" spans="1:13" ht="12">
      <c r="A24" s="51" t="s">
        <v>581</v>
      </c>
      <c r="B24" s="380">
        <f>Trim!F78</f>
        <v>0</v>
      </c>
      <c r="C24" s="367"/>
      <c r="D24" s="367"/>
      <c r="E24" s="366"/>
      <c r="F24" s="366"/>
      <c r="G24" s="366"/>
      <c r="H24" s="366"/>
      <c r="I24" s="366"/>
      <c r="J24" s="366"/>
      <c r="K24" s="366"/>
      <c r="L24" s="367"/>
      <c r="M24" s="368">
        <f t="shared" si="0"/>
        <v>0</v>
      </c>
    </row>
    <row r="25" spans="1:13" ht="12">
      <c r="A25" s="11" t="s">
        <v>577</v>
      </c>
      <c r="B25" s="391"/>
      <c r="C25" s="367"/>
      <c r="D25" s="367"/>
      <c r="E25" s="367"/>
      <c r="F25" s="367"/>
      <c r="G25" s="367"/>
      <c r="H25" s="367"/>
      <c r="I25" s="366"/>
      <c r="J25" s="366"/>
      <c r="K25" s="367"/>
      <c r="L25" s="367"/>
      <c r="M25" s="368">
        <f t="shared" si="0"/>
        <v>0</v>
      </c>
    </row>
    <row r="26" spans="1:13" ht="12">
      <c r="A26" s="11" t="s">
        <v>578</v>
      </c>
      <c r="B26" s="367"/>
      <c r="C26" s="367"/>
      <c r="D26" s="38"/>
      <c r="E26" s="368"/>
      <c r="F26" s="367"/>
      <c r="G26" s="368"/>
      <c r="H26" s="368"/>
      <c r="I26" s="368"/>
      <c r="J26" s="368"/>
      <c r="K26" s="368"/>
      <c r="L26" s="368"/>
      <c r="M26" s="368">
        <f t="shared" si="0"/>
        <v>0</v>
      </c>
    </row>
    <row r="27" spans="1:13" ht="12">
      <c r="A27" s="13" t="s">
        <v>582</v>
      </c>
      <c r="B27" s="380">
        <f>Trim!F82</f>
        <v>30</v>
      </c>
      <c r="C27" s="367"/>
      <c r="D27" s="367"/>
      <c r="E27" s="368"/>
      <c r="F27" s="367"/>
      <c r="G27" s="388">
        <v>30</v>
      </c>
      <c r="H27" s="368"/>
      <c r="I27" s="368"/>
      <c r="J27" s="368"/>
      <c r="K27" s="368"/>
      <c r="L27" s="368"/>
      <c r="M27" s="368">
        <f t="shared" si="0"/>
        <v>30</v>
      </c>
    </row>
    <row r="28" spans="1:13" ht="12">
      <c r="A28" s="13" t="s">
        <v>583</v>
      </c>
      <c r="B28" s="367">
        <f>Trim!E81</f>
        <v>0</v>
      </c>
      <c r="C28" s="367"/>
      <c r="D28" s="367"/>
      <c r="E28" s="368"/>
      <c r="F28" s="367"/>
      <c r="G28" s="387"/>
      <c r="H28" s="368"/>
      <c r="I28" s="368"/>
      <c r="J28" s="368"/>
      <c r="K28" s="368"/>
      <c r="L28" s="368"/>
      <c r="M28" s="368">
        <f t="shared" si="0"/>
        <v>0</v>
      </c>
    </row>
    <row r="29" spans="1:13" ht="12">
      <c r="A29" s="13"/>
      <c r="B29" s="351"/>
      <c r="C29" s="351"/>
      <c r="D29" s="351"/>
      <c r="E29" s="371"/>
      <c r="F29" s="351"/>
      <c r="G29" s="351"/>
      <c r="H29" s="371"/>
      <c r="I29" s="371"/>
      <c r="J29" s="371"/>
      <c r="K29" s="371"/>
      <c r="L29" s="371"/>
      <c r="M29" s="371"/>
    </row>
    <row r="30" spans="2:13" ht="12">
      <c r="B30" s="1"/>
      <c r="H30" s="372" t="s">
        <v>569</v>
      </c>
      <c r="I30" s="928">
        <f>Trim!M9</f>
        <v>51494.4</v>
      </c>
      <c r="J30" s="929" t="s">
        <v>986</v>
      </c>
      <c r="K30" s="373"/>
      <c r="L30" s="373"/>
      <c r="M30" s="362"/>
    </row>
    <row r="31" spans="2:13" ht="12">
      <c r="B31" s="1"/>
      <c r="H31" s="372"/>
      <c r="I31" s="373"/>
      <c r="J31" s="373"/>
      <c r="K31" s="373"/>
      <c r="L31" s="373"/>
      <c r="M31" s="362"/>
    </row>
    <row r="32" spans="1:13" ht="25.5" customHeight="1">
      <c r="A32" s="374" t="s">
        <v>584</v>
      </c>
      <c r="C32" s="366"/>
      <c r="D32" s="366"/>
      <c r="E32" s="368"/>
      <c r="F32" s="366"/>
      <c r="G32" s="25"/>
      <c r="H32" s="38"/>
      <c r="I32" s="38"/>
      <c r="J32" s="38"/>
      <c r="K32" s="368"/>
      <c r="L32" s="368"/>
      <c r="M32" s="368">
        <f t="shared" si="0"/>
        <v>0</v>
      </c>
    </row>
    <row r="33" spans="1:13" ht="12">
      <c r="A33" s="11" t="s">
        <v>577</v>
      </c>
      <c r="C33" s="366"/>
      <c r="D33" s="366"/>
      <c r="E33" s="368"/>
      <c r="F33" s="366"/>
      <c r="G33" s="367"/>
      <c r="H33" s="368"/>
      <c r="I33" s="38"/>
      <c r="J33" s="38"/>
      <c r="K33" s="368"/>
      <c r="L33" s="368"/>
      <c r="M33" s="368">
        <f t="shared" si="0"/>
        <v>0</v>
      </c>
    </row>
    <row r="34" spans="1:14" ht="12">
      <c r="A34" s="11" t="s">
        <v>578</v>
      </c>
      <c r="B34" s="367">
        <f>Trim!E84</f>
        <v>0</v>
      </c>
      <c r="C34" s="1"/>
      <c r="F34" s="60"/>
      <c r="G34" s="367"/>
      <c r="H34" s="60"/>
      <c r="I34" s="60"/>
      <c r="J34" s="60"/>
      <c r="M34" s="368">
        <f t="shared" si="0"/>
        <v>0</v>
      </c>
      <c r="N34" s="359"/>
    </row>
    <row r="35" spans="1:13" ht="12">
      <c r="A35" s="13" t="s">
        <v>582</v>
      </c>
      <c r="B35" s="367">
        <f>Trim!E85</f>
        <v>0</v>
      </c>
      <c r="G35" s="389"/>
      <c r="M35" s="368">
        <f t="shared" si="0"/>
        <v>0</v>
      </c>
    </row>
    <row r="36" spans="1:13" ht="12">
      <c r="A36" t="s">
        <v>585</v>
      </c>
      <c r="K36" t="s">
        <v>586</v>
      </c>
      <c r="M36" s="359">
        <f>SUM(M15:M28)</f>
        <v>851.4</v>
      </c>
    </row>
    <row r="37" ht="12">
      <c r="B37" s="18"/>
    </row>
    <row r="38" spans="2:13" ht="12">
      <c r="B38" s="21"/>
      <c r="C38" s="1"/>
      <c r="L38" s="11" t="s">
        <v>587</v>
      </c>
      <c r="M38" s="359">
        <f>SUM(M9:M10)+M36</f>
        <v>851.4</v>
      </c>
    </row>
    <row r="39" spans="1:5" ht="12">
      <c r="A39" s="18"/>
      <c r="B39" s="26"/>
      <c r="C39" s="26"/>
      <c r="D39" s="18"/>
      <c r="E39" s="18"/>
    </row>
    <row r="40" spans="2:13" ht="12">
      <c r="B40" s="353" t="s">
        <v>451</v>
      </c>
      <c r="D40" s="1"/>
      <c r="E40" s="1"/>
      <c r="G40" s="392"/>
      <c r="H40" s="393"/>
      <c r="I40" s="394"/>
      <c r="J40" s="395"/>
      <c r="K40" s="395"/>
      <c r="L40" s="395"/>
      <c r="M40" s="396"/>
    </row>
    <row r="41" spans="2:13" ht="12">
      <c r="B41" s="1"/>
      <c r="C41" s="1"/>
      <c r="H41" s="393"/>
      <c r="I41" s="930">
        <f>total_scale_weight</f>
        <v>51494.4</v>
      </c>
      <c r="J41" s="929" t="s">
        <v>986</v>
      </c>
      <c r="K41" s="397"/>
      <c r="L41" s="397"/>
      <c r="M41" s="398"/>
    </row>
  </sheetData>
  <sheetProtection/>
  <printOptions/>
  <pageMargins left="0.7479166666666667" right="0.7479166666666667" top="0.9840277777777777" bottom="0.9840277777777777" header="0.5118055555555555" footer="0.5118055555555555"/>
  <pageSetup fitToHeight="1" fitToWidth="1" horizontalDpi="300" verticalDpi="300" orientation="landscape" scale="86"/>
  <headerFooter alignWithMargins="0">
    <oddFooter>&amp;C&amp;F&amp;R&amp;P of &amp;N</oddFooter>
  </headerFooter>
</worksheet>
</file>

<file path=xl/worksheets/sheet6.xml><?xml version="1.0" encoding="utf-8"?>
<worksheet xmlns="http://schemas.openxmlformats.org/spreadsheetml/2006/main" xmlns:r="http://schemas.openxmlformats.org/officeDocument/2006/relationships">
  <dimension ref="A1:J44"/>
  <sheetViews>
    <sheetView zoomScalePageLayoutView="0" workbookViewId="0" topLeftCell="A1">
      <selection activeCell="B30" sqref="B30"/>
    </sheetView>
  </sheetViews>
  <sheetFormatPr defaultColWidth="9.140625" defaultRowHeight="12.75"/>
  <cols>
    <col min="1" max="1" width="17.7109375" style="8" customWidth="1"/>
    <col min="2" max="2" width="8.7109375" style="8" customWidth="1"/>
    <col min="3" max="3" width="12.140625" style="8" customWidth="1"/>
    <col min="4" max="4" width="13.28125" style="8" customWidth="1"/>
    <col min="5" max="16384" width="9.140625" style="8" customWidth="1"/>
  </cols>
  <sheetData>
    <row r="1" spans="1:7" ht="18.75" customHeight="1">
      <c r="A1" s="195" t="s">
        <v>452</v>
      </c>
      <c r="C1" s="211" t="str">
        <f>Trim!B2</f>
        <v>MS</v>
      </c>
      <c r="D1" s="128">
        <f>Cal!D1</f>
        <v>513</v>
      </c>
      <c r="F1" s="399"/>
      <c r="G1" s="400"/>
    </row>
    <row r="2" spans="1:5" ht="17.25" customHeight="1">
      <c r="A2" s="89"/>
      <c r="B2" s="6" t="s">
        <v>988</v>
      </c>
      <c r="C2" s="7">
        <f ca="1">NOW()</f>
        <v>40438.33086805556</v>
      </c>
      <c r="D2" s="6" t="s">
        <v>989</v>
      </c>
      <c r="E2" s="9">
        <f ca="1">NOW()</f>
        <v>40438.33086805556</v>
      </c>
    </row>
    <row r="3" spans="1:5" ht="12.75" customHeight="1">
      <c r="A3" s="89"/>
      <c r="B3" s="6"/>
      <c r="C3" s="7"/>
      <c r="D3" s="6"/>
      <c r="E3" s="9"/>
    </row>
    <row r="4" spans="2:8" ht="12.75" customHeight="1">
      <c r="B4" s="50" t="s">
        <v>453</v>
      </c>
      <c r="C4" s="400"/>
      <c r="D4" s="360" t="s">
        <v>454</v>
      </c>
      <c r="F4" s="401"/>
      <c r="G4" s="400"/>
      <c r="H4" s="402"/>
    </row>
    <row r="5" spans="1:8" ht="12.75" customHeight="1">
      <c r="A5" s="403" t="s">
        <v>455</v>
      </c>
      <c r="B5" s="400">
        <f>1/B6</f>
        <v>-4.076707325027722</v>
      </c>
      <c r="C5" s="400" t="s">
        <v>456</v>
      </c>
      <c r="D5" s="400" t="s">
        <v>457</v>
      </c>
      <c r="E5" s="400" t="s">
        <v>458</v>
      </c>
      <c r="F5" s="401"/>
      <c r="G5" s="400"/>
      <c r="H5" s="402"/>
    </row>
    <row r="6" spans="1:5" ht="12.75" customHeight="1">
      <c r="A6" s="400"/>
      <c r="B6" s="400">
        <v>-0.245296</v>
      </c>
      <c r="C6" s="400" t="s">
        <v>459</v>
      </c>
      <c r="D6" s="400" t="s">
        <v>460</v>
      </c>
      <c r="E6" s="400"/>
    </row>
    <row r="7" ht="12.75" customHeight="1"/>
    <row r="8" s="400" customFormat="1" ht="12.75" customHeight="1">
      <c r="A8" s="404" t="s">
        <v>461</v>
      </c>
    </row>
    <row r="9" spans="1:4" s="400" customFormat="1" ht="12.75" customHeight="1">
      <c r="A9" s="400" t="s">
        <v>462</v>
      </c>
      <c r="B9" s="511">
        <v>22.698</v>
      </c>
      <c r="C9" s="400" t="s">
        <v>463</v>
      </c>
      <c r="D9" s="400" t="s">
        <v>464</v>
      </c>
    </row>
    <row r="10" spans="1:10" s="400" customFormat="1" ht="12.75" customHeight="1">
      <c r="A10" s="400" t="s">
        <v>465</v>
      </c>
      <c r="B10" s="511">
        <v>36.131</v>
      </c>
      <c r="C10" s="400" t="s">
        <v>466</v>
      </c>
      <c r="D10" s="400" t="s">
        <v>464</v>
      </c>
      <c r="J10" s="841" t="s">
        <v>228</v>
      </c>
    </row>
    <row r="11" spans="1:10" s="400" customFormat="1" ht="12.75" customHeight="1">
      <c r="A11" s="400" t="s">
        <v>467</v>
      </c>
      <c r="B11" s="512">
        <v>34.92267543011792</v>
      </c>
      <c r="C11" s="400" t="s">
        <v>466</v>
      </c>
      <c r="D11" s="400">
        <f>35/36.211</f>
        <v>0.9665571235260004</v>
      </c>
      <c r="E11" s="400" t="s">
        <v>468</v>
      </c>
      <c r="J11" s="841" t="s">
        <v>229</v>
      </c>
    </row>
    <row r="12" spans="1:10" s="400" customFormat="1" ht="12.75" customHeight="1">
      <c r="A12" s="400" t="s">
        <v>320</v>
      </c>
      <c r="B12" s="513">
        <v>1.0230897</v>
      </c>
      <c r="C12" s="400" t="s">
        <v>321</v>
      </c>
      <c r="D12" s="400" t="s">
        <v>322</v>
      </c>
      <c r="J12" s="841" t="s">
        <v>230</v>
      </c>
    </row>
    <row r="13" spans="1:10" s="400" customFormat="1" ht="12.75" customHeight="1">
      <c r="A13" s="400" t="s">
        <v>323</v>
      </c>
      <c r="B13" s="510">
        <v>51193.4</v>
      </c>
      <c r="C13" s="400" t="s">
        <v>702</v>
      </c>
      <c r="D13" s="400" t="s">
        <v>324</v>
      </c>
      <c r="J13" s="841" t="s">
        <v>231</v>
      </c>
    </row>
    <row r="14" spans="1:10" s="400" customFormat="1" ht="12.75" customHeight="1">
      <c r="A14" s="400" t="s">
        <v>325</v>
      </c>
      <c r="B14" s="498">
        <f>B13/B12</f>
        <v>50038.03674301481</v>
      </c>
      <c r="C14" s="400" t="s">
        <v>957</v>
      </c>
      <c r="D14" s="400" t="s">
        <v>185</v>
      </c>
      <c r="J14" s="841" t="s">
        <v>232</v>
      </c>
    </row>
    <row r="15" spans="1:10" s="400" customFormat="1" ht="12.75" customHeight="1">
      <c r="A15" s="400" t="s">
        <v>186</v>
      </c>
      <c r="C15" s="499">
        <v>0</v>
      </c>
      <c r="D15" s="400" t="s">
        <v>957</v>
      </c>
      <c r="J15" s="841" t="s">
        <v>233</v>
      </c>
    </row>
    <row r="16" spans="1:10" s="400" customFormat="1" ht="12.75" customHeight="1">
      <c r="A16" s="400" t="s">
        <v>187</v>
      </c>
      <c r="C16" s="499">
        <v>3456</v>
      </c>
      <c r="D16" s="400" t="s">
        <v>188</v>
      </c>
      <c r="J16" s="841" t="s">
        <v>234</v>
      </c>
    </row>
    <row r="17" spans="1:10" s="400" customFormat="1" ht="12.75" customHeight="1">
      <c r="A17" s="406" t="s">
        <v>189</v>
      </c>
      <c r="B17" s="11" t="s">
        <v>190</v>
      </c>
      <c r="C17" s="11" t="s">
        <v>191</v>
      </c>
      <c r="D17" s="400" t="s">
        <v>192</v>
      </c>
      <c r="J17" s="841" t="s">
        <v>235</v>
      </c>
    </row>
    <row r="18" spans="1:5" s="400" customFormat="1" ht="12.75" customHeight="1">
      <c r="A18" s="400" t="s">
        <v>193</v>
      </c>
      <c r="B18" s="406">
        <f>Cal!C42</f>
        <v>394</v>
      </c>
      <c r="C18" s="406">
        <f>(B18-B19)*B6</f>
        <v>751.0963519999999</v>
      </c>
      <c r="D18" s="406">
        <f>B14+C18</f>
        <v>50789.13309501481</v>
      </c>
      <c r="E18" s="400" t="s">
        <v>194</v>
      </c>
    </row>
    <row r="19" spans="1:5" s="400" customFormat="1" ht="12.75" customHeight="1">
      <c r="A19" s="400" t="s">
        <v>195</v>
      </c>
      <c r="B19" s="406">
        <f>C16+(C15*B5)</f>
        <v>3456</v>
      </c>
      <c r="C19" s="11" t="s">
        <v>329</v>
      </c>
      <c r="D19" s="406">
        <f>B14</f>
        <v>50038.03674301481</v>
      </c>
      <c r="E19" s="400" t="s">
        <v>957</v>
      </c>
    </row>
    <row r="20" spans="1:5" s="400" customFormat="1" ht="12.75" customHeight="1">
      <c r="A20" s="400" t="s">
        <v>330</v>
      </c>
      <c r="B20" s="406">
        <f>Cal!C43</f>
        <v>3960</v>
      </c>
      <c r="C20" s="406">
        <f>(B20-B19)*B6</f>
        <v>-123.629184</v>
      </c>
      <c r="D20" s="406">
        <f>B14+C20</f>
        <v>49914.40755901481</v>
      </c>
      <c r="E20" s="400" t="s">
        <v>331</v>
      </c>
    </row>
    <row r="21" spans="1:3" s="400" customFormat="1" ht="12.75" customHeight="1">
      <c r="A21" s="400" t="s">
        <v>332</v>
      </c>
      <c r="C21" s="407">
        <f>C18-C20</f>
        <v>874.7255359999999</v>
      </c>
    </row>
    <row r="22" s="400" customFormat="1" ht="12.75" customHeight="1">
      <c r="C22" s="407"/>
    </row>
    <row r="23" s="400" customFormat="1" ht="12.75" customHeight="1">
      <c r="C23" s="407"/>
    </row>
    <row r="24" spans="1:5" s="400" customFormat="1" ht="12.75" customHeight="1">
      <c r="A24"/>
      <c r="B24"/>
      <c r="C24"/>
      <c r="D24"/>
      <c r="E24"/>
    </row>
    <row r="25" spans="1:9" s="400" customFormat="1" ht="12.75" customHeight="1">
      <c r="A25" s="404" t="s">
        <v>333</v>
      </c>
      <c r="F25"/>
      <c r="G25"/>
      <c r="H25"/>
      <c r="I25"/>
    </row>
    <row r="26" spans="1:9" s="400" customFormat="1" ht="12.75" customHeight="1">
      <c r="A26" s="400" t="s">
        <v>334</v>
      </c>
      <c r="B26" s="507">
        <v>51193.4</v>
      </c>
      <c r="C26" s="400" t="s">
        <v>986</v>
      </c>
      <c r="D26" s="945" t="s">
        <v>237</v>
      </c>
      <c r="H26"/>
      <c r="I26"/>
    </row>
    <row r="27" spans="1:10" s="400" customFormat="1" ht="12.75" customHeight="1">
      <c r="A27" s="400" t="s">
        <v>335</v>
      </c>
      <c r="B27" s="509">
        <v>50789</v>
      </c>
      <c r="C27" s="400" t="s">
        <v>957</v>
      </c>
      <c r="D27" s="946" t="s">
        <v>237</v>
      </c>
      <c r="H27"/>
      <c r="I27"/>
      <c r="J27" t="s">
        <v>379</v>
      </c>
    </row>
    <row r="28" spans="1:10" s="400" customFormat="1" ht="12.75" customHeight="1">
      <c r="A28" s="400" t="s">
        <v>336</v>
      </c>
      <c r="B28" s="508">
        <f>D20</f>
        <v>49914.40755901481</v>
      </c>
      <c r="C28" s="400" t="s">
        <v>957</v>
      </c>
      <c r="D28" s="408"/>
      <c r="H28"/>
      <c r="I28"/>
      <c r="J28" t="s">
        <v>380</v>
      </c>
    </row>
    <row r="29" spans="1:9" s="400" customFormat="1" ht="12.75" customHeight="1">
      <c r="A29" s="400" t="s">
        <v>337</v>
      </c>
      <c r="B29" s="513">
        <v>1.0275</v>
      </c>
      <c r="C29" s="400" t="s">
        <v>338</v>
      </c>
      <c r="D29" s="944" t="s">
        <v>236</v>
      </c>
      <c r="H29"/>
      <c r="I29"/>
    </row>
    <row r="30" spans="1:9" s="400" customFormat="1" ht="12.75" customHeight="1">
      <c r="A30" s="400" t="s">
        <v>339</v>
      </c>
      <c r="B30" s="509">
        <v>250</v>
      </c>
      <c r="C30" s="400" t="s">
        <v>957</v>
      </c>
      <c r="D30" s="944" t="s">
        <v>236</v>
      </c>
      <c r="H30"/>
      <c r="I30"/>
    </row>
    <row r="31" spans="1:9" s="400" customFormat="1" ht="12.75" customHeight="1">
      <c r="A31" s="400" t="s">
        <v>340</v>
      </c>
      <c r="B31" s="406">
        <f>B28+B30</f>
        <v>50164.40755901481</v>
      </c>
      <c r="C31" s="400" t="s">
        <v>957</v>
      </c>
      <c r="D31" s="841" t="s">
        <v>341</v>
      </c>
      <c r="E31" s="400">
        <v>11.296</v>
      </c>
      <c r="F31" s="400" t="s">
        <v>961</v>
      </c>
      <c r="H31"/>
      <c r="I31"/>
    </row>
    <row r="32" spans="1:7" s="400" customFormat="1" ht="12.75" customHeight="1">
      <c r="A32" s="353" t="s">
        <v>342</v>
      </c>
      <c r="B32" s="409">
        <f>(B29*B31-B26)/(1-(B29/11.296))</f>
        <v>385.6038321822754</v>
      </c>
      <c r="C32" s="400" t="s">
        <v>986</v>
      </c>
      <c r="D32" s="400" t="s">
        <v>343</v>
      </c>
      <c r="E32" s="406">
        <f>B32/E31</f>
        <v>34.13631658837424</v>
      </c>
      <c r="F32" s="400" t="s">
        <v>957</v>
      </c>
      <c r="G32" s="8"/>
    </row>
    <row r="33" spans="1:7" s="400" customFormat="1" ht="12.75" customHeight="1">
      <c r="A33" s="400" t="s">
        <v>344</v>
      </c>
      <c r="B33" s="406">
        <f>B26+B32</f>
        <v>51579.00383218228</v>
      </c>
      <c r="C33" s="400" t="s">
        <v>986</v>
      </c>
      <c r="G33" s="8"/>
    </row>
    <row r="34" spans="1:3" s="400" customFormat="1" ht="12.75" customHeight="1">
      <c r="A34" s="400" t="s">
        <v>345</v>
      </c>
      <c r="B34" s="406">
        <f>B27+B32/E31</f>
        <v>50823.136316588374</v>
      </c>
      <c r="C34" s="400" t="s">
        <v>957</v>
      </c>
    </row>
    <row r="35" s="400" customFormat="1" ht="12.75" customHeight="1"/>
    <row r="36" spans="1:5" s="400" customFormat="1" ht="12.75" customHeight="1">
      <c r="A36" s="50" t="s">
        <v>346</v>
      </c>
      <c r="B36" s="8"/>
      <c r="C36" s="8"/>
      <c r="E36" s="8"/>
    </row>
    <row r="37" spans="1:7" s="400" customFormat="1" ht="12.75" customHeight="1">
      <c r="A37" s="406" t="s">
        <v>189</v>
      </c>
      <c r="B37" s="11" t="s">
        <v>190</v>
      </c>
      <c r="C37" s="11" t="s">
        <v>191</v>
      </c>
      <c r="D37" s="400" t="s">
        <v>192</v>
      </c>
      <c r="F37" s="8"/>
      <c r="G37" s="8"/>
    </row>
    <row r="38" spans="1:5" s="400" customFormat="1" ht="12.75" customHeight="1">
      <c r="A38" s="400" t="s">
        <v>347</v>
      </c>
      <c r="B38" s="406">
        <f>Cal!C42</f>
        <v>394</v>
      </c>
      <c r="C38" s="406">
        <f>(B38-B39)*B6</f>
        <v>624.725536</v>
      </c>
      <c r="D38" s="406">
        <f>D39+C38+E32</f>
        <v>50823.269411603185</v>
      </c>
      <c r="E38" s="400" t="s">
        <v>957</v>
      </c>
    </row>
    <row r="39" spans="1:5" ht="12.75" customHeight="1">
      <c r="A39" s="400" t="s">
        <v>348</v>
      </c>
      <c r="B39" s="406">
        <f>((D39-B28)*B5)+B40</f>
        <v>2940.82316874307</v>
      </c>
      <c r="C39" s="410">
        <v>0</v>
      </c>
      <c r="D39" s="406">
        <f>B31</f>
        <v>50164.40755901481</v>
      </c>
      <c r="E39" s="400" t="s">
        <v>957</v>
      </c>
    </row>
    <row r="40" spans="1:5" ht="12.75" customHeight="1">
      <c r="A40" s="400" t="s">
        <v>349</v>
      </c>
      <c r="B40" s="406">
        <f>Cal!C43</f>
        <v>3960</v>
      </c>
      <c r="C40" s="406">
        <f>(B40-B39)*B6</f>
        <v>-249.99999999999994</v>
      </c>
      <c r="D40" s="406">
        <f>D38-(C38-C40)</f>
        <v>49948.54387560319</v>
      </c>
      <c r="E40" s="400" t="s">
        <v>957</v>
      </c>
    </row>
    <row r="41" spans="1:3" s="400" customFormat="1" ht="12.75" customHeight="1">
      <c r="A41" s="400" t="s">
        <v>332</v>
      </c>
      <c r="C41" s="407">
        <f>C38-C40</f>
        <v>874.7255359999999</v>
      </c>
    </row>
    <row r="42" spans="1:3" s="400" customFormat="1" ht="12.75" customHeight="1">
      <c r="A42" s="400" t="s">
        <v>350</v>
      </c>
      <c r="B42" s="405">
        <f>total_scale_weight</f>
        <v>51494.4</v>
      </c>
      <c r="C42" s="400" t="s">
        <v>986</v>
      </c>
    </row>
    <row r="43" spans="1:3" s="400" customFormat="1" ht="12.75" customHeight="1">
      <c r="A43" s="400" t="s">
        <v>351</v>
      </c>
      <c r="B43" s="406">
        <f>B42/B29</f>
        <v>50116.20437956204</v>
      </c>
      <c r="C43" s="400" t="s">
        <v>957</v>
      </c>
    </row>
    <row r="44" spans="1:3" s="400" customFormat="1" ht="12.75" customHeight="1">
      <c r="A44" s="400" t="s">
        <v>487</v>
      </c>
      <c r="B44" s="406">
        <f>B39+(B43-D39)*B5</f>
        <v>3137.3334235078114</v>
      </c>
      <c r="C44" s="400" t="s">
        <v>188</v>
      </c>
    </row>
    <row r="45" s="400" customFormat="1" ht="12"/>
    <row r="46" s="400" customFormat="1" ht="12"/>
    <row r="47" s="400" customFormat="1" ht="12"/>
    <row r="48" s="400" customFormat="1" ht="12"/>
    <row r="49" s="400" customFormat="1" ht="12"/>
    <row r="50" s="400" customFormat="1" ht="12"/>
    <row r="51" s="400" customFormat="1" ht="12"/>
    <row r="52" s="400" customFormat="1" ht="12"/>
    <row r="53" s="400" customFormat="1" ht="12"/>
    <row r="54" s="400" customFormat="1" ht="12"/>
    <row r="55" s="400" customFormat="1" ht="12"/>
    <row r="56" s="400" customFormat="1" ht="12"/>
    <row r="57" s="400" customFormat="1" ht="12"/>
    <row r="58" s="400" customFormat="1" ht="12"/>
    <row r="59" s="400" customFormat="1" ht="12"/>
    <row r="60" s="400" customFormat="1" ht="12"/>
    <row r="61" s="400" customFormat="1" ht="12"/>
  </sheetData>
  <sheetProtection/>
  <printOptions/>
  <pageMargins left="0.7479166666666667" right="0.7479166666666667" top="0.9840277777777777" bottom="0.9840277777777777" header="0.5118055555555555" footer="0.5"/>
  <pageSetup horizontalDpi="300" verticalDpi="300" orientation="portrait"/>
  <headerFooter alignWithMargins="0">
    <oddFooter>&amp;C&amp;F&amp;R&amp;P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6"/>
  <sheetViews>
    <sheetView zoomScale="75" zoomScaleNormal="75" zoomScalePageLayoutView="0" workbookViewId="0" topLeftCell="A1">
      <selection activeCell="H261" sqref="H261:O265"/>
    </sheetView>
  </sheetViews>
  <sheetFormatPr defaultColWidth="11.57421875" defaultRowHeight="12.75"/>
  <cols>
    <col min="1" max="1" width="11.421875" style="0" customWidth="1"/>
    <col min="2" max="2" width="91.28125" style="0" customWidth="1"/>
    <col min="3" max="16384" width="11.421875" style="0" customWidth="1"/>
  </cols>
  <sheetData>
    <row r="1" ht="12">
      <c r="A1" s="353" t="s">
        <v>488</v>
      </c>
    </row>
    <row r="2" spans="1:2" ht="15">
      <c r="A2" s="103" t="s">
        <v>489</v>
      </c>
      <c r="B2" s="128">
        <f>Cal!D1</f>
        <v>513</v>
      </c>
    </row>
    <row r="3" spans="1:2" ht="12">
      <c r="A3" s="1" t="s">
        <v>490</v>
      </c>
      <c r="B3" t="s">
        <v>491</v>
      </c>
    </row>
    <row r="4" ht="12">
      <c r="A4" s="411"/>
    </row>
    <row r="5" ht="12">
      <c r="A5" s="412"/>
    </row>
    <row r="6" ht="12">
      <c r="A6" s="411"/>
    </row>
  </sheetData>
  <sheetProtection/>
  <printOptions/>
  <pageMargins left="0.7479166666666667" right="0.7479166666666667" top="0.9840277777777777" bottom="0.9840277777777777" header="0.5118055555555555" footer="0.5"/>
  <pageSetup fitToHeight="2" fitToWidth="1" horizontalDpi="300" verticalDpi="300" orientation="portrait" scale="86"/>
  <headerFooter alignWithMargins="0">
    <oddFooter>&amp;C&amp;F&amp;R&amp;P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8"/>
  <sheetViews>
    <sheetView zoomScale="75" zoomScaleNormal="75" zoomScalePageLayoutView="0" workbookViewId="0" topLeftCell="A1">
      <selection activeCell="H261" sqref="H261:O265"/>
    </sheetView>
  </sheetViews>
  <sheetFormatPr defaultColWidth="8.8515625" defaultRowHeight="12.75"/>
  <cols>
    <col min="1" max="1" width="10.421875" style="0" customWidth="1"/>
    <col min="2" max="2" width="95.7109375" style="0" customWidth="1"/>
  </cols>
  <sheetData>
    <row r="1" ht="15">
      <c r="A1" s="195" t="s">
        <v>492</v>
      </c>
    </row>
    <row r="2" spans="1:2" ht="15">
      <c r="A2" s="211" t="s">
        <v>384</v>
      </c>
      <c r="B2" s="128">
        <f>Trim!C2</f>
        <v>513</v>
      </c>
    </row>
    <row r="3" spans="1:2" ht="12">
      <c r="A3" t="s">
        <v>490</v>
      </c>
      <c r="B3" t="s">
        <v>491</v>
      </c>
    </row>
    <row r="4" ht="12">
      <c r="A4" s="411"/>
    </row>
    <row r="6" ht="12">
      <c r="A6" s="411"/>
    </row>
    <row r="8" ht="12">
      <c r="A8" s="411"/>
    </row>
  </sheetData>
  <sheetProtection/>
  <printOptions/>
  <pageMargins left="0.7479166666666667" right="0.7479166666666667" top="0.9840277777777777" bottom="0.9840277777777777" header="0.5118055555555555" footer="0.5"/>
  <pageSetup fitToHeight="2" fitToWidth="1" horizontalDpi="300" verticalDpi="300" orientation="portrait" scale="88"/>
  <headerFooter alignWithMargins="0">
    <oddFooter>&amp;C&amp;F&amp;R&amp;P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5"/>
  <sheetViews>
    <sheetView zoomScalePageLayoutView="0" workbookViewId="0" topLeftCell="A1">
      <selection activeCell="A5" sqref="A5"/>
    </sheetView>
  </sheetViews>
  <sheetFormatPr defaultColWidth="8.8515625" defaultRowHeight="12.75"/>
  <cols>
    <col min="1" max="1" width="6.8515625" style="0" customWidth="1"/>
    <col min="2" max="2" width="7.421875" style="0" customWidth="1"/>
    <col min="3" max="4" width="7.421875" style="1" customWidth="1"/>
    <col min="5" max="5" width="10.00390625" style="1" customWidth="1"/>
    <col min="6" max="7" width="7.421875" style="0" customWidth="1"/>
    <col min="8" max="8" width="7.421875" style="1" customWidth="1"/>
    <col min="9" max="9" width="8.00390625" style="1" customWidth="1"/>
    <col min="10" max="12" width="7.421875" style="0" customWidth="1"/>
    <col min="13" max="13" width="7.140625" style="1" customWidth="1"/>
    <col min="14" max="16" width="7.421875" style="0" customWidth="1"/>
    <col min="17" max="17" width="7.421875" style="1" customWidth="1"/>
    <col min="18" max="18" width="7.421875" style="0" customWidth="1"/>
  </cols>
  <sheetData>
    <row r="1" spans="1:14" ht="15">
      <c r="A1" s="455" t="s">
        <v>401</v>
      </c>
      <c r="B1" s="21"/>
      <c r="F1" s="21"/>
      <c r="J1" s="21"/>
      <c r="N1" s="21"/>
    </row>
    <row r="2" spans="1:14" ht="15">
      <c r="A2" s="455"/>
      <c r="B2" s="21"/>
      <c r="F2" s="21"/>
      <c r="J2" s="21"/>
      <c r="N2" s="21"/>
    </row>
    <row r="3" spans="1:23" ht="38.25" customHeight="1">
      <c r="A3" s="393"/>
      <c r="B3" s="417" t="s">
        <v>252</v>
      </c>
      <c r="D3" s="21"/>
      <c r="E3" s="456"/>
      <c r="F3" s="417" t="s">
        <v>253</v>
      </c>
      <c r="I3" s="456"/>
      <c r="J3" s="457" t="s">
        <v>254</v>
      </c>
      <c r="M3" s="456"/>
      <c r="N3" s="417" t="s">
        <v>255</v>
      </c>
      <c r="R3" s="1037" t="s">
        <v>256</v>
      </c>
      <c r="S3" s="1037"/>
      <c r="T3" s="1037"/>
      <c r="U3" s="1037" t="s">
        <v>115</v>
      </c>
      <c r="V3" s="1037"/>
      <c r="W3" s="1037"/>
    </row>
    <row r="4" spans="1:23" ht="82.5" customHeight="1">
      <c r="A4" s="458" t="s">
        <v>385</v>
      </c>
      <c r="B4" s="459" t="s">
        <v>116</v>
      </c>
      <c r="C4" s="459" t="s">
        <v>117</v>
      </c>
      <c r="D4" s="459" t="s">
        <v>118</v>
      </c>
      <c r="E4" s="460" t="s">
        <v>119</v>
      </c>
      <c r="F4" s="459" t="s">
        <v>116</v>
      </c>
      <c r="G4" s="459" t="s">
        <v>117</v>
      </c>
      <c r="H4" s="459" t="s">
        <v>118</v>
      </c>
      <c r="I4" s="460" t="s">
        <v>120</v>
      </c>
      <c r="J4" s="459" t="s">
        <v>116</v>
      </c>
      <c r="K4" s="459" t="s">
        <v>117</v>
      </c>
      <c r="L4" s="459" t="s">
        <v>118</v>
      </c>
      <c r="M4" s="460" t="s">
        <v>121</v>
      </c>
      <c r="N4" s="459" t="s">
        <v>116</v>
      </c>
      <c r="O4" s="459" t="s">
        <v>117</v>
      </c>
      <c r="P4" s="459" t="s">
        <v>118</v>
      </c>
      <c r="Q4" s="459" t="s">
        <v>121</v>
      </c>
      <c r="R4" s="459" t="s">
        <v>262</v>
      </c>
      <c r="S4" s="459" t="s">
        <v>263</v>
      </c>
      <c r="T4" s="459" t="s">
        <v>264</v>
      </c>
      <c r="U4" s="459" t="s">
        <v>265</v>
      </c>
      <c r="V4" s="459" t="s">
        <v>266</v>
      </c>
      <c r="W4" s="459" t="s">
        <v>267</v>
      </c>
    </row>
    <row r="5" spans="1:23" ht="12.75" customHeight="1">
      <c r="A5" s="456"/>
      <c r="B5" s="21"/>
      <c r="D5" s="21"/>
      <c r="E5" s="456"/>
      <c r="F5" s="21"/>
      <c r="G5" s="1"/>
      <c r="I5" s="456"/>
      <c r="J5" s="21"/>
      <c r="K5" s="461"/>
      <c r="L5" s="461"/>
      <c r="M5" s="456"/>
      <c r="N5" s="21"/>
      <c r="O5" s="1"/>
      <c r="P5" s="461"/>
      <c r="R5" s="461"/>
      <c r="S5" s="461"/>
      <c r="T5" s="461"/>
      <c r="U5" s="461"/>
      <c r="V5" s="461"/>
      <c r="W5" s="461"/>
    </row>
  </sheetData>
  <sheetProtection/>
  <mergeCells count="2">
    <mergeCell ref="R3:T3"/>
    <mergeCell ref="U3:W3"/>
  </mergeCells>
  <printOptions/>
  <pageMargins left="0.7479166666666667" right="0.7479166666666667" top="0.9840277777777777" bottom="0.9840277777777777" header="0.5118055555555555" footer="0.5118055555555555"/>
  <pageSetup fitToHeight="1" fitToWidth="1" horizontalDpi="300" verticalDpi="300" orientation="landscape" scale="67"/>
  <headerFooter alignWithMargins="0">
    <oddFooter>&amp;C&amp;F&amp;R&amp;P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Lehman</dc:creator>
  <cp:keywords/>
  <dc:description/>
  <cp:lastModifiedBy>Jennie Mowatt</cp:lastModifiedBy>
  <cp:lastPrinted>2009-11-12T00:20:36Z</cp:lastPrinted>
  <dcterms:created xsi:type="dcterms:W3CDTF">1999-11-08T17:25:34Z</dcterms:created>
  <dcterms:modified xsi:type="dcterms:W3CDTF">2010-09-17T17:56:38Z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367307353</vt:i4>
  </property>
  <property fmtid="{D5CDD505-2E9C-101B-9397-08002B2CF9AE}" pid="3" name="_NewReviewCycle">
    <vt:lpwstr/>
  </property>
  <property fmtid="{D5CDD505-2E9C-101B-9397-08002B2CF9AE}" pid="4" name="_EmailSubject">
    <vt:lpwstr>513 Trim sheet</vt:lpwstr>
  </property>
  <property fmtid="{D5CDD505-2E9C-101B-9397-08002B2CF9AE}" pid="5" name="_AuthorEmail">
    <vt:lpwstr>annalisa.santoro@lmco.com</vt:lpwstr>
  </property>
  <property fmtid="{D5CDD505-2E9C-101B-9397-08002B2CF9AE}" pid="6" name="_AuthorEmailDisplayName">
    <vt:lpwstr>Santoro, Annalisa (N-DCR)</vt:lpwstr>
  </property>
  <property fmtid="{D5CDD505-2E9C-101B-9397-08002B2CF9AE}" pid="7" name="_PreviousAdHocReviewCycleID">
    <vt:i4>-1890116562</vt:i4>
  </property>
  <property fmtid="{D5CDD505-2E9C-101B-9397-08002B2CF9AE}" pid="8" name="Document Author">
    <vt:lpwstr>ACCT05\santoroa</vt:lpwstr>
  </property>
  <property fmtid="{D5CDD505-2E9C-101B-9397-08002B2CF9AE}" pid="9" name="Document Sensitivity">
    <vt:lpwstr>1</vt:lpwstr>
  </property>
  <property fmtid="{D5CDD505-2E9C-101B-9397-08002B2CF9AE}" pid="10" name="ThirdParty">
    <vt:lpwstr/>
  </property>
  <property fmtid="{D5CDD505-2E9C-101B-9397-08002B2CF9AE}" pid="11" name="OCI Restriction">
    <vt:bool>false</vt:bool>
  </property>
  <property fmtid="{D5CDD505-2E9C-101B-9397-08002B2CF9AE}" pid="12" name="OCI Additional Info">
    <vt:lpwstr/>
  </property>
  <property fmtid="{D5CDD505-2E9C-101B-9397-08002B2CF9AE}" pid="13" name="Allow Header Overwrite">
    <vt:lpwstr>-1</vt:lpwstr>
  </property>
  <property fmtid="{D5CDD505-2E9C-101B-9397-08002B2CF9AE}" pid="14" name="Allow Footer Overwrite">
    <vt:lpwstr>-1</vt:lpwstr>
  </property>
  <property fmtid="{D5CDD505-2E9C-101B-9397-08002B2CF9AE}" pid="15" name="Multiple Selected">
    <vt:lpwstr>-1</vt:lpwstr>
  </property>
  <property fmtid="{D5CDD505-2E9C-101B-9397-08002B2CF9AE}" pid="16" name="_ReviewingToolsShownOnce">
    <vt:lpwstr/>
  </property>
</Properties>
</file>