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785" activeTab="1"/>
  </bookViews>
  <sheets>
    <sheet name="Cal" sheetId="1" r:id="rId1"/>
    <sheet name="Trim" sheetId="2" r:id="rId2"/>
    <sheet name="Lead Worksheet" sheetId="3" r:id="rId3"/>
    <sheet name="Ballast" sheetId="4" r:id="rId4"/>
    <sheet name="Tank _ PS notes" sheetId="5" r:id="rId5"/>
    <sheet name="Maint" sheetId="6" r:id="rId6"/>
    <sheet name="Pres cal" sheetId="7" r:id="rId7"/>
    <sheet name="Motor Data" sheetId="8" r:id="rId8"/>
    <sheet name="Material" sheetId="9" r:id="rId9"/>
    <sheet name="Matlab" sheetId="10" r:id="rId10"/>
  </sheets>
  <definedNames>
    <definedName name="Alum_density">'Material'!$B$3</definedName>
    <definedName name="Bat_Hull_Vol">'Trim'!#REF!</definedName>
    <definedName name="batt_roll_angle">'Trim'!$C$33</definedName>
    <definedName name="Brass_Density">'Material'!$B$5</definedName>
    <definedName name="CG">#REF!</definedName>
    <definedName name="CG_2">'Trim'!$C$23</definedName>
    <definedName name="comp_VCB">'Trim'!$C$31</definedName>
    <definedName name="Complete_Fairing_Vol">'Trim'!$C$43</definedName>
    <definedName name="CT_Sail_Vol">'Trim'!$K$262</definedName>
    <definedName name="Dead_Oil_Vol">'Trim'!$R$19</definedName>
    <definedName name="Displaced_Volume">'Trim'!$C$15</definedName>
    <definedName name="Endcap_Ext_Bladder_Vol">'Trim'!#REF!</definedName>
    <definedName name="Endcap_Vol">'Trim'!$K$161</definedName>
    <definedName name="Fiberglass_Density">'Material'!$B$8</definedName>
    <definedName name="Fwd_Hull_Vol">'Trim'!#REF!</definedName>
    <definedName name="Internal_Oil_Vol">'Trim'!$L$19</definedName>
    <definedName name="lcg">#REF!</definedName>
    <definedName name="lcg_2">'Trim'!$C$25</definedName>
    <definedName name="Lead_Density">'Material'!$B$4</definedName>
    <definedName name="Main_Bulkhead_Vol">'Trim'!#REF!</definedName>
    <definedName name="move_mom_VCG">'Trim'!$S$352</definedName>
    <definedName name="Neoprene_Density">'Material'!$B$11</definedName>
    <definedName name="Oil_density">'Material'!$B$12</definedName>
    <definedName name="Oil_Specific_Gravity_gm_cc">'Material'!$B$12</definedName>
    <definedName name="Oil_wt">#REF!</definedName>
    <definedName name="Oil_wt_2">'Trim'!$C$155</definedName>
    <definedName name="pi">3.1415</definedName>
    <definedName name="Polypropylene_Density">'Material'!$B$7</definedName>
    <definedName name="_xlnm.Print_Area" localSheetId="0">'Cal'!$A$1:$E$162</definedName>
    <definedName name="_xlnm.Print_Area" localSheetId="5">'Maint'!$A$1:$B$62</definedName>
    <definedName name="_xlnm.Print_Area" localSheetId="4">'Tank _ PS notes'!$A$1:$B$58</definedName>
    <definedName name="_xlnm.Print_Area" localSheetId="1">'Trim'!$A$1:$R$416</definedName>
    <definedName name="PVC_Density">'Material'!$B$10</definedName>
    <definedName name="rho">#REF!</definedName>
    <definedName name="rho_2">'Trim'!$C$17</definedName>
    <definedName name="rho_fairing">#REF!</definedName>
    <definedName name="rho_fairing_2">'Trim'!#REF!</definedName>
    <definedName name="Roll">#REF!</definedName>
    <definedName name="Roll_2">'Trim'!$C$34</definedName>
    <definedName name="Roll_5">'Trim'!$C$34</definedName>
    <definedName name="SS_Density">'Material'!$B$6</definedName>
    <definedName name="stern">NA()</definedName>
    <definedName name="stern_2">NA()</definedName>
    <definedName name="stroke">#REF!</definedName>
    <definedName name="stroke_2">'Trim'!$C$26</definedName>
    <definedName name="stroke_5">'Trim'!$C$25</definedName>
    <definedName name="Tot_mom_VCB">'Trim'!$R$52</definedName>
    <definedName name="Tot_mom_VCG">'Trim'!$Q$52</definedName>
    <definedName name="Total_Moment_LCB">'Trim'!$N$52</definedName>
    <definedName name="Total_Moment_LCG">'Trim'!$I$52</definedName>
    <definedName name="Total_Oil_Vol">'Trim'!$C$156</definedName>
    <definedName name="total_scale_weight">'Trim'!$C$9</definedName>
    <definedName name="Total_Weight">'Trim'!$F$52</definedName>
    <definedName name="Total_Weight_In_Air">'Trim'!$C$8</definedName>
    <definedName name="vcg">#REF!</definedName>
    <definedName name="vcg_2">'Trim'!$C$32</definedName>
    <definedName name="Vehicle_roll">'Trim'!$C$34</definedName>
    <definedName name="Wing_density">'Material'!$B$13</definedName>
    <definedName name="Zinc_Density">'Material'!$B$9</definedName>
  </definedNames>
  <calcPr fullCalcOnLoad="1"/>
</workbook>
</file>

<file path=xl/comments2.xml><?xml version="1.0" encoding="utf-8"?>
<comments xmlns="http://schemas.openxmlformats.org/spreadsheetml/2006/main">
  <authors>
    <author/>
    <author>mike johnson</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7" authorId="0">
      <text>
        <r>
          <rPr>
            <sz val="8"/>
            <color indexed="8"/>
            <rFont val="Nimbus Roman No9 L"/>
            <family val="1"/>
          </rPr>
          <t xml:space="preserve">This should be either measured or predicted denstiy the density of water the glider will encounter, e.g., OSB tank, PS surface, PS deep, WA coast deep.
 </t>
        </r>
      </text>
    </comment>
    <comment ref="C18"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B19"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E19" authorId="0">
      <text>
        <r>
          <rPr>
            <sz val="8"/>
            <color indexed="8"/>
            <rFont val="Nimbus Roman No9 L"/>
            <family val="1"/>
          </rPr>
          <t xml:space="preserve">External Bladder Full = low AD = vehicle floats higher.
External Bladder Empty = high AD = vehicle sinks lower.
</t>
        </r>
      </text>
    </comment>
    <comment ref="B26" authorId="0">
      <text>
        <r>
          <rPr>
            <sz val="8"/>
            <color indexed="8"/>
            <rFont val="Nimbus Roman No9 L"/>
            <family val="1"/>
          </rPr>
          <t>Nominal is 70% so can pitch far forward during surface manuever, Max Stroke is 15.32 cm</t>
        </r>
      </text>
    </comment>
    <comment ref="E26" authorId="0">
      <text>
        <r>
          <rPr>
            <sz val="8"/>
            <color indexed="8"/>
            <rFont val="Nimbus Roman No9 L"/>
            <family val="1"/>
          </rPr>
          <t>Positive cm is aft = high AD.
Negative cm is fwd = low AD.</t>
        </r>
      </text>
    </comment>
    <comment ref="B34" authorId="0">
      <text>
        <r>
          <rPr>
            <b/>
            <sz val="8"/>
            <color indexed="8"/>
            <rFont val="Nimbus Roman No9 L"/>
            <family val="1"/>
          </rPr>
          <t xml:space="preserve">Jim Osse:
</t>
        </r>
        <r>
          <rPr>
            <sz val="8"/>
            <color indexed="8"/>
            <rFont val="Nimbus Roman No9 L"/>
            <family val="1"/>
          </rPr>
          <t>Itterates for roll by equating moment of battery against moment of hull VCG and hull VCB, must have itteration option ON</t>
        </r>
      </text>
    </comment>
    <comment ref="J37" authorId="0">
      <text>
        <r>
          <rPr>
            <b/>
            <sz val="9"/>
            <color indexed="8"/>
            <rFont val="Geneva"/>
            <family val="0"/>
          </rPr>
          <t xml:space="preserve">Fritz Stahr:
</t>
        </r>
        <r>
          <rPr>
            <sz val="9"/>
            <color indexed="8"/>
            <rFont val="Geneva"/>
            <family val="0"/>
          </rPr>
          <t>Anything inside the pressure hull is considered to displace no volume.</t>
        </r>
      </text>
    </comment>
    <comment ref="L37"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F51" authorId="0">
      <text>
        <r>
          <rPr>
            <b/>
            <sz val="9"/>
            <color indexed="8"/>
            <rFont val="Geneva"/>
            <family val="0"/>
          </rPr>
          <t xml:space="preserve">Fritz Stahr:
</t>
        </r>
        <r>
          <rPr>
            <sz val="9"/>
            <color indexed="8"/>
            <rFont val="Geneva"/>
            <family val="0"/>
          </rPr>
          <t>determined by original all-up dry weight difference, including lead and tape 6/6/06, then adjusted to match all up wt. for HI</t>
        </r>
      </text>
    </comment>
    <comment ref="G51" authorId="0">
      <text>
        <r>
          <rPr>
            <b/>
            <sz val="9"/>
            <color indexed="8"/>
            <rFont val="Geneva"/>
            <family val="0"/>
          </rPr>
          <t xml:space="preserve">Fritz Stahr:
</t>
        </r>
        <r>
          <rPr>
            <sz val="9"/>
            <color indexed="8"/>
            <rFont val="Geneva"/>
            <family val="0"/>
          </rPr>
          <t>set to LCG zero point</t>
        </r>
      </text>
    </comment>
    <comment ref="J51" authorId="0">
      <text>
        <r>
          <rPr>
            <b/>
            <sz val="9"/>
            <color indexed="8"/>
            <rFont val="Geneva"/>
            <family val="0"/>
          </rPr>
          <t xml:space="preserve">Fritz Stahr:
</t>
        </r>
        <r>
          <rPr>
            <sz val="9"/>
            <color indexed="8"/>
            <rFont val="Geneva"/>
            <family val="0"/>
          </rPr>
          <t>set to make neutral observed in Port Susan show 0 net buoyancy</t>
        </r>
      </text>
    </comment>
    <comment ref="L51" authorId="0">
      <text>
        <r>
          <rPr>
            <b/>
            <sz val="9"/>
            <color indexed="8"/>
            <rFont val="Geneva"/>
            <family val="0"/>
          </rPr>
          <t xml:space="preserve">Fritz Stahr:
</t>
        </r>
        <r>
          <rPr>
            <sz val="9"/>
            <color indexed="8"/>
            <rFont val="Geneva"/>
            <family val="0"/>
          </rPr>
          <t>adjusted to make pitch center found in PS be zero</t>
        </r>
      </text>
    </comment>
    <comment ref="G61" authorId="0">
      <text>
        <r>
          <rPr>
            <sz val="9"/>
            <color indexed="8"/>
            <rFont val="Geneva"/>
            <family val="0"/>
          </rPr>
          <t>Fritz Stahr: 16may06
In orig trim sheets this changed from glider to glider and appeared to be calculated. Further, this # was also pasted into the xcg for the aft fairing. Replaced with Solidworks locations for xcg/b.</t>
        </r>
      </text>
    </comment>
    <comment ref="J61"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86"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87" authorId="0">
      <text>
        <r>
          <rPr>
            <b/>
            <sz val="8"/>
            <color indexed="8"/>
            <rFont val="Nimbus Roman No9 L"/>
            <family val="1"/>
          </rPr>
          <t xml:space="preserve">mike johnson:
</t>
        </r>
        <r>
          <rPr>
            <sz val="8"/>
            <color indexed="8"/>
            <rFont val="Nimbus Roman No9 L"/>
            <family val="1"/>
          </rPr>
          <t>Volume taken from Solidworks model 49838-A</t>
        </r>
      </text>
    </comment>
    <comment ref="J90" authorId="0">
      <text>
        <r>
          <rPr>
            <b/>
            <sz val="8"/>
            <color indexed="8"/>
            <rFont val="Nimbus Roman No9 L"/>
            <family val="1"/>
          </rPr>
          <t xml:space="preserve">mike johnson:
</t>
        </r>
        <r>
          <rPr>
            <sz val="8"/>
            <color indexed="8"/>
            <rFont val="Nimbus Roman No9 L"/>
            <family val="1"/>
          </rPr>
          <t>Volume taken from solidworks model 49839</t>
        </r>
      </text>
    </comment>
    <comment ref="J100" authorId="0">
      <text>
        <r>
          <rPr>
            <b/>
            <sz val="8"/>
            <color indexed="8"/>
            <rFont val="Nimbus Roman No9 L"/>
            <family val="1"/>
          </rPr>
          <t xml:space="preserve">Russ Light:
</t>
        </r>
        <r>
          <rPr>
            <sz val="8"/>
            <color indexed="8"/>
            <rFont val="Nimbus Roman No9 L"/>
            <family val="1"/>
          </rPr>
          <t>Measured by weighing cable assy in Dasaro tank. 
Inlcudes dummy plug
Weight in tank = 34.5g
V = 79g (wt in air) - 34.5g
    = 44.5 cc
Measured by Light on 8/1/00</t>
        </r>
      </text>
    </comment>
    <comment ref="J140" authorId="0">
      <text>
        <r>
          <rPr>
            <b/>
            <sz val="8"/>
            <color indexed="8"/>
            <rFont val="Nimbus Roman No9 L"/>
            <family val="1"/>
          </rPr>
          <t xml:space="preserve">mike johnson:
</t>
        </r>
        <r>
          <rPr>
            <sz val="8"/>
            <color indexed="8"/>
            <rFont val="Nimbus Roman No9 L"/>
            <family val="1"/>
          </rPr>
          <t>Calculated from OEM specs</t>
        </r>
      </text>
    </comment>
    <comment ref="C159" authorId="0">
      <text>
        <r>
          <rPr>
            <b/>
            <sz val="8"/>
            <color indexed="8"/>
            <rFont val="Nimbus Roman No9 L"/>
            <family val="1"/>
          </rPr>
          <t xml:space="preserve">mike johnson:
</t>
        </r>
        <r>
          <rPr>
            <sz val="8"/>
            <color indexed="8"/>
            <rFont val="Nimbus Roman No9 L"/>
            <family val="1"/>
          </rPr>
          <t>Variable oil removed from weight roll up.</t>
        </r>
      </text>
    </comment>
    <comment ref="J161"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187" authorId="0">
      <text>
        <r>
          <rPr>
            <sz val="8"/>
            <color indexed="8"/>
            <rFont val="Nimbus Roman No9 L"/>
            <family val="1"/>
          </rPr>
          <t>Includes Oil</t>
        </r>
      </text>
    </comment>
    <comment ref="J187"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B306" authorId="0">
      <text>
        <r>
          <rPr>
            <b/>
            <sz val="8"/>
            <color indexed="8"/>
            <rFont val="Nimbus Roman No9 L"/>
            <family val="1"/>
          </rPr>
          <t xml:space="preserve">mike johnson:
</t>
        </r>
        <r>
          <rPr>
            <sz val="8"/>
            <color indexed="8"/>
            <rFont val="Nimbus Roman No9 L"/>
            <family val="1"/>
          </rPr>
          <t>Higlighted are moving mass</t>
        </r>
      </text>
    </comment>
    <comment ref="G72" authorId="0">
      <text>
        <r>
          <rPr>
            <b/>
            <sz val="9"/>
            <color indexed="8"/>
            <rFont val="Geneva"/>
            <family val="0"/>
          </rPr>
          <t xml:space="preserve">Mike Johnson:
</t>
        </r>
        <r>
          <rPr>
            <sz val="9"/>
            <color indexed="8"/>
            <rFont val="Geneva"/>
            <family val="0"/>
          </rPr>
          <t xml:space="preserve">42.077" represents center of mass for lead attached dirrectly to pupa.  Lead is .377" farther aft than lead taped to fairing
</t>
        </r>
      </text>
    </comment>
    <comment ref="G98" authorId="0">
      <text>
        <r>
          <rPr>
            <b/>
            <sz val="8"/>
            <color indexed="8"/>
            <rFont val="Nimbus Roman No9 L"/>
            <family val="1"/>
          </rPr>
          <t>Mike Johnson:
13 Feb 2009
LCG computed from solidworks model.  Includes all components:
36" Standard mast/ shoe, LCG = 81.31"
12" TTI mast/shoe, LCG = 70.18"</t>
        </r>
      </text>
    </comment>
    <comment ref="J98" authorId="1">
      <text>
        <r>
          <rPr>
            <b/>
            <sz val="8"/>
            <rFont val="Tahoma"/>
            <family val="0"/>
          </rPr>
          <t>mike johnson:
13 Feb 2009
Volume calculated with all components using solidworks models
36" Standard antenna assy = 347.9cc
12" TTI antenna assy = 357.8cc</t>
        </r>
      </text>
    </comment>
    <comment ref="L98" authorId="1">
      <text>
        <r>
          <rPr>
            <b/>
            <sz val="8"/>
            <rFont val="Tahoma"/>
            <family val="0"/>
          </rPr>
          <t>mike johnson:</t>
        </r>
        <r>
          <rPr>
            <sz val="8"/>
            <rFont val="Tahoma"/>
            <family val="0"/>
          </rPr>
          <t xml:space="preserve">
1/29/2008
Assume same as LCG </t>
        </r>
      </text>
    </comment>
    <comment ref="G108" authorId="1">
      <text>
        <r>
          <rPr>
            <b/>
            <sz val="8"/>
            <rFont val="Tahoma"/>
            <family val="0"/>
          </rPr>
          <t>mike johnson:</t>
        </r>
        <r>
          <rPr>
            <sz val="8"/>
            <rFont val="Tahoma"/>
            <family val="0"/>
          </rPr>
          <t xml:space="preserve">
Distance for dual O2 aft fairing</t>
        </r>
      </text>
    </comment>
    <comment ref="J108" authorId="1">
      <text>
        <r>
          <rPr>
            <b/>
            <sz val="8"/>
            <rFont val="Tahoma"/>
            <family val="0"/>
          </rPr>
          <t>mike johnson:</t>
        </r>
        <r>
          <rPr>
            <sz val="8"/>
            <rFont val="Tahoma"/>
            <family val="0"/>
          </rPr>
          <t xml:space="preserve">
</t>
        </r>
        <r>
          <rPr>
            <b/>
            <sz val="8"/>
            <rFont val="Tahoma"/>
            <family val="2"/>
          </rPr>
          <t xml:space="preserve">22 Jan 2008
Optode w/o cable = 81.1 cc
Optode w/ potted cable =  105.22 cc
</t>
        </r>
        <r>
          <rPr>
            <sz val="8"/>
            <rFont val="Tahoma"/>
            <family val="2"/>
          </rPr>
          <t>Volume from solidworks part models</t>
        </r>
      </text>
    </comment>
    <comment ref="J109" authorId="1">
      <text>
        <r>
          <rPr>
            <b/>
            <sz val="8"/>
            <rFont val="Tahoma"/>
            <family val="0"/>
          </rPr>
          <t>mike johnson:</t>
        </r>
        <r>
          <rPr>
            <sz val="8"/>
            <rFont val="Tahoma"/>
            <family val="0"/>
          </rPr>
          <t xml:space="preserve">
</t>
        </r>
        <r>
          <rPr>
            <b/>
            <sz val="8"/>
            <rFont val="Tahoma"/>
            <family val="2"/>
          </rPr>
          <t xml:space="preserve">22 Jan 2008
Cable = 29 cc
</t>
        </r>
        <r>
          <rPr>
            <sz val="8"/>
            <rFont val="Tahoma"/>
            <family val="2"/>
          </rPr>
          <t>Volume from solidworks part model</t>
        </r>
      </text>
    </comment>
    <comment ref="G114" authorId="1">
      <text>
        <r>
          <rPr>
            <b/>
            <sz val="8"/>
            <rFont val="Tahoma"/>
            <family val="0"/>
          </rPr>
          <t>mike johnson:</t>
        </r>
        <r>
          <rPr>
            <sz val="8"/>
            <rFont val="Tahoma"/>
            <family val="0"/>
          </rPr>
          <t xml:space="preserve">
Distance for dual O2 aft fairing</t>
        </r>
      </text>
    </comment>
    <comment ref="J114" authorId="1">
      <text>
        <r>
          <rPr>
            <b/>
            <sz val="8"/>
            <rFont val="Tahoma"/>
            <family val="0"/>
          </rPr>
          <t>mike johnson:</t>
        </r>
        <r>
          <rPr>
            <sz val="8"/>
            <rFont val="Tahoma"/>
            <family val="0"/>
          </rPr>
          <t xml:space="preserve">
</t>
        </r>
        <r>
          <rPr>
            <b/>
            <sz val="8"/>
            <rFont val="Tahoma"/>
            <family val="2"/>
          </rPr>
          <t xml:space="preserve">22 Jan 2008
SBE43f = 166.70
</t>
        </r>
        <r>
          <rPr>
            <sz val="8"/>
            <rFont val="Tahoma"/>
            <family val="2"/>
          </rPr>
          <t>Volume from solidworks models of sensor, plenum, and bracket</t>
        </r>
      </text>
    </comment>
    <comment ref="J115" authorId="1">
      <text>
        <r>
          <rPr>
            <b/>
            <sz val="8"/>
            <rFont val="Tahoma"/>
            <family val="0"/>
          </rPr>
          <t>mike johnson:</t>
        </r>
        <r>
          <rPr>
            <sz val="8"/>
            <rFont val="Tahoma"/>
            <family val="0"/>
          </rPr>
          <t xml:space="preserve">
</t>
        </r>
        <r>
          <rPr>
            <b/>
            <sz val="8"/>
            <rFont val="Tahoma"/>
            <family val="2"/>
          </rPr>
          <t xml:space="preserve">22 Jan 2008
24" IE55 cable = 29cc
</t>
        </r>
        <r>
          <rPr>
            <sz val="8"/>
            <rFont val="Tahoma"/>
            <family val="2"/>
          </rPr>
          <t>Volume from solidwork part model</t>
        </r>
      </text>
    </comment>
    <comment ref="G121" authorId="1">
      <text>
        <r>
          <rPr>
            <b/>
            <sz val="8"/>
            <rFont val="Tahoma"/>
            <family val="0"/>
          </rPr>
          <t>mike johnson:</t>
        </r>
        <r>
          <rPr>
            <sz val="8"/>
            <rFont val="Tahoma"/>
            <family val="0"/>
          </rPr>
          <t xml:space="preserve">
Distance for dual WL aft fairing</t>
        </r>
      </text>
    </comment>
    <comment ref="J121" authorId="0">
      <text>
        <r>
          <rPr>
            <b/>
            <sz val="8"/>
            <color indexed="8"/>
            <rFont val="Nimbus Roman No9 L"/>
            <family val="1"/>
          </rPr>
          <t xml:space="preserve">Mike Johnson
22 Jan 2008
BB2F = 178.8cc
</t>
        </r>
        <r>
          <rPr>
            <sz val="8"/>
            <color indexed="8"/>
            <rFont val="Nimbus Roman No9 L"/>
            <family val="0"/>
          </rPr>
          <t>Volume from solidworks part models of WL BB2F and (2x)
sensor clamps</t>
        </r>
      </text>
    </comment>
    <comment ref="G127" authorId="1">
      <text>
        <r>
          <rPr>
            <b/>
            <sz val="8"/>
            <rFont val="Tahoma"/>
            <family val="0"/>
          </rPr>
          <t>mike johnson:</t>
        </r>
        <r>
          <rPr>
            <sz val="8"/>
            <rFont val="Tahoma"/>
            <family val="0"/>
          </rPr>
          <t xml:space="preserve">
Distance for dual WL aft fairing</t>
        </r>
      </text>
    </comment>
    <comment ref="J127" authorId="1">
      <text>
        <r>
          <rPr>
            <sz val="8"/>
            <rFont val="Tahoma"/>
            <family val="0"/>
          </rPr>
          <t xml:space="preserve">
</t>
        </r>
        <r>
          <rPr>
            <b/>
            <sz val="8"/>
            <rFont val="Tahoma"/>
            <family val="2"/>
          </rPr>
          <t>Mike Johnson
22 Jan 2008</t>
        </r>
        <r>
          <rPr>
            <sz val="8"/>
            <rFont val="Tahoma"/>
            <family val="0"/>
          </rPr>
          <t xml:space="preserve">
</t>
        </r>
        <r>
          <rPr>
            <b/>
            <sz val="8"/>
            <rFont val="Tahoma"/>
            <family val="2"/>
          </rPr>
          <t>WL VMG  = 209.3 cc</t>
        </r>
        <r>
          <rPr>
            <sz val="8"/>
            <rFont val="Tahoma"/>
            <family val="0"/>
          </rPr>
          <t xml:space="preserve">
Volume from solidworks part models of WL vmg and (2x)
sensor clamps</t>
        </r>
      </text>
    </comment>
  </commentList>
</comments>
</file>

<file path=xl/comments9.xml><?xml version="1.0" encoding="utf-8"?>
<comments xmlns="http://schemas.openxmlformats.org/spreadsheetml/2006/main">
  <authors>
    <author/>
  </authors>
  <commentList>
    <comment ref="B8" authorId="0">
      <text>
        <r>
          <rPr>
            <sz val="8"/>
            <color indexed="8"/>
            <rFont val="Nimbus Roman No9 L"/>
            <family val="1"/>
          </rPr>
          <t>Russ Light (~2000?):</t>
        </r>
        <r>
          <rPr>
            <b/>
            <sz val="8"/>
            <color indexed="8"/>
            <rFont val="Nimbus Roman No9 L"/>
            <family val="1"/>
          </rPr>
          <t xml:space="preserve"> </t>
        </r>
        <r>
          <rPr>
            <sz val="8"/>
            <color indexed="8"/>
            <rFont val="Nimbus Roman No9 L"/>
            <family val="1"/>
          </rPr>
          <t>Using an in air and in water weight for aft fairing calculated the volume.  Then calculated the density of 1.5384 from this volume and in air weight. (2006) Jim O finds this varies between ~ 1.45 &amp; ~1.65 from DG work.
Osse note 1/15/07; suggest using  1.43 as startign density for fiberglass based on average of SG 101 to SG 110 post field deployment data</t>
        </r>
      </text>
    </commen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sharedStrings.xml><?xml version="1.0" encoding="utf-8"?>
<sst xmlns="http://schemas.openxmlformats.org/spreadsheetml/2006/main" count="1407" uniqueCount="958">
  <si>
    <t>Calibration Sheet for SEAGLIDER</t>
  </si>
  <si>
    <t>Serial No.</t>
  </si>
  <si>
    <t>Date:</t>
  </si>
  <si>
    <t>(master to all sheets)</t>
  </si>
  <si>
    <t>Time:</t>
  </si>
  <si>
    <t>Software Revision</t>
  </si>
  <si>
    <t>Overall comments:</t>
  </si>
  <si>
    <t>Pitch Mass</t>
  </si>
  <si>
    <t>Last updated</t>
  </si>
  <si>
    <t>Comments</t>
  </si>
  <si>
    <t>Headroom</t>
  </si>
  <si>
    <t>AD counts</t>
  </si>
  <si>
    <t>Hardware Limit (counts)</t>
  </si>
  <si>
    <t>Software Limit (counts)</t>
  </si>
  <si>
    <t>cm travel*</t>
  </si>
  <si>
    <t>Minimum (full forward)</t>
  </si>
  <si>
    <t>Maximum (full aft)</t>
  </si>
  <si>
    <t>Stroke Length</t>
  </si>
  <si>
    <t xml:space="preserve"> Pitch Center</t>
  </si>
  <si>
    <t>(as defined by $C_PITCH)</t>
  </si>
  <si>
    <t>(15.32 cm full stroke)</t>
  </si>
  <si>
    <t>Conversion constant</t>
  </si>
  <si>
    <t>cm per AD</t>
  </si>
  <si>
    <t>($PITCH_CNV)</t>
  </si>
  <si>
    <t>(conversion inverse)</t>
  </si>
  <si>
    <t>AD per cm</t>
  </si>
  <si>
    <t>*equation</t>
  </si>
  <si>
    <t>cm = (AD –center)* conversion factor (cm/AD)</t>
  </si>
  <si>
    <t>(-) cm is fwd of center, (+) cm is aft of center</t>
  </si>
  <si>
    <t>Roll Mass</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</si>
  <si>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</si>
  <si>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</si>
  <si>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</si>
  <si>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</si>
  <si>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</si>
  <si>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</si>
  <si>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</si>
  <si>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</si>
  <si>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</si>
  <si>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</si>
  <si>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</si>
  <si>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</si>
  <si>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</si>
  <si>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</si>
  <si>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Boost Pump SN</t>
  </si>
  <si>
    <t>cm3 (cc) oil*</t>
  </si>
  <si>
    <t>$VBD_Min (Ext Bladder full)</t>
  </si>
  <si>
    <t>$VBD_Max (Ext Bladder empty)</t>
  </si>
  <si>
    <t>Total movable oil volume</t>
  </si>
  <si>
    <t>Neutral Trim (from Ballast sheet)</t>
  </si>
  <si>
    <t>($C_VBD for neutral)</t>
  </si>
  <si>
    <t>(nomially 0 at spec rho)</t>
  </si>
  <si>
    <t>cc per AD</t>
  </si>
  <si>
    <t>$VBD_CNV</t>
  </si>
  <si>
    <t>AD per cc</t>
  </si>
  <si>
    <t>*equation:</t>
  </si>
  <si>
    <t>cc oil=(AD@neutral trim)* conv. factor (cc/counts)</t>
  </si>
  <si>
    <t>(1 cc oil = 1.025 g buoyancy)</t>
  </si>
  <si>
    <t>Pressure Sensor</t>
  </si>
  <si>
    <t>(all values fed from press-cal worksheet including date)</t>
  </si>
  <si>
    <t>Values from Pres Cal sht</t>
  </si>
  <si>
    <t>Manufacturer</t>
  </si>
  <si>
    <t>Model #</t>
  </si>
  <si>
    <t>Serial #</t>
  </si>
  <si>
    <t>Calibration date</t>
  </si>
  <si>
    <t>A/D Gain</t>
  </si>
  <si>
    <t>PSI = Slope *AD_Count + Y_Intercept</t>
  </si>
  <si>
    <t>Atmos @ cal.</t>
  </si>
  <si>
    <t>Temp @ cal.</t>
  </si>
  <si>
    <t>Psig/AD count</t>
  </si>
  <si>
    <t>Calibrated Slope</t>
  </si>
  <si>
    <t>(either PresCal-B49 or PreCal-I56)</t>
  </si>
  <si>
    <t>Cal. Y-Intercept</t>
  </si>
  <si>
    <t>(Changed each time sensor set for “sealevel”)</t>
  </si>
  <si>
    <t>Depth Offset</t>
  </si>
  <si>
    <t>Meters</t>
  </si>
  <si>
    <t>Conversion Factor</t>
  </si>
  <si>
    <t>0.685 psig/meter</t>
  </si>
  <si>
    <t>Internal Pressure</t>
  </si>
  <si>
    <t>Compass</t>
  </si>
  <si>
    <t>Manufactuer</t>
  </si>
  <si>
    <t>Sparton</t>
  </si>
  <si>
    <t>Model number</t>
  </si>
  <si>
    <t>SP3003D</t>
  </si>
  <si>
    <t>Serial Number</t>
  </si>
  <si>
    <t>Compass SW version #</t>
  </si>
  <si>
    <t>Compass carier PCB</t>
  </si>
  <si>
    <t>PN 52281 rev 1.2</t>
  </si>
  <si>
    <t>Sand Point Calibration Date</t>
  </si>
  <si>
    <t>TCM2MAT file creation date</t>
  </si>
  <si>
    <t>Main Board</t>
  </si>
  <si>
    <t>(52290=normal glider)</t>
  </si>
  <si>
    <t>Mainboard Revision</t>
  </si>
  <si>
    <t>B.4</t>
  </si>
  <si>
    <t>Mainboard Serial Number</t>
  </si>
  <si>
    <t>Computer Type</t>
  </si>
  <si>
    <t>TT8</t>
  </si>
  <si>
    <t>Onset Computers</t>
  </si>
  <si>
    <t>Computer Serial Number</t>
  </si>
  <si>
    <t>Disk system</t>
  </si>
  <si>
    <t>CF8V2</t>
  </si>
  <si>
    <t>Persistor Corp.</t>
  </si>
  <si>
    <t>Compact Flash Card Manu.</t>
  </si>
  <si>
    <t xml:space="preserve">Silicon Systems  </t>
  </si>
  <si>
    <t>CF card size</t>
  </si>
  <si>
    <t>256 MB</t>
  </si>
  <si>
    <t>CF card  serial/ID #</t>
  </si>
  <si>
    <t>SSD-C25MI-3005</t>
  </si>
  <si>
    <t>Watchdog (PIC) setting (min)</t>
  </si>
  <si>
    <t>10 min</t>
  </si>
  <si>
    <t>(10min = dips 2&amp;4 on)</t>
  </si>
  <si>
    <t>OEM Board &amp; Sub-systems</t>
  </si>
  <si>
    <t>GPS Manufacturer</t>
  </si>
  <si>
    <t>Garmin</t>
  </si>
  <si>
    <t>GPS Model Number</t>
  </si>
  <si>
    <t>15H-W</t>
  </si>
  <si>
    <t>GPS Serial Number</t>
  </si>
  <si>
    <t>GPSI Antenna SN</t>
  </si>
  <si>
    <t>(fab by Ocean Eng Services)</t>
  </si>
  <si>
    <t>DC-DC converter SN</t>
  </si>
  <si>
    <t>Transducer Manu.</t>
  </si>
  <si>
    <t>ITC</t>
  </si>
  <si>
    <t>Transducer Model</t>
  </si>
  <si>
    <t>Transducer SN</t>
  </si>
  <si>
    <t>Acoustic Transponder</t>
  </si>
  <si>
    <t>AAE</t>
  </si>
  <si>
    <t>Model</t>
  </si>
  <si>
    <t>(with altimeter function)</t>
  </si>
  <si>
    <t>(5414-5000?)</t>
  </si>
  <si>
    <t>Main-board SN</t>
  </si>
  <si>
    <t>Sub-board SN</t>
  </si>
  <si>
    <t>AAE software ver #</t>
  </si>
  <si>
    <t>Ver 3.5</t>
  </si>
  <si>
    <t>Interrogate Frequency</t>
  </si>
  <si>
    <t>KHz</t>
  </si>
  <si>
    <t>Reply Frequency</t>
  </si>
  <si>
    <t>DIP switch settings</t>
  </si>
  <si>
    <t>(sw-1/sw-2)</t>
  </si>
  <si>
    <t>Iridium Modem</t>
  </si>
  <si>
    <t>9522A</t>
  </si>
  <si>
    <t>IMEI Number</t>
  </si>
  <si>
    <t>NA</t>
  </si>
  <si>
    <t>SIM Card Owner</t>
  </si>
  <si>
    <t>SIM Card SN</t>
  </si>
  <si>
    <t>SBE C and T Sensors</t>
  </si>
  <si>
    <t>Sail SN</t>
  </si>
  <si>
    <t>Temp PCB SN</t>
  </si>
  <si>
    <t>Cond PCB SN</t>
  </si>
  <si>
    <t>Conductivity Calibration Coefficients</t>
  </si>
  <si>
    <t>Temperature Calibration Coefficients</t>
  </si>
  <si>
    <t>g =</t>
  </si>
  <si>
    <t>h =</t>
  </si>
  <si>
    <t>i =</t>
  </si>
  <si>
    <t>j =</t>
  </si>
  <si>
    <t>Cpcor (nom) =</t>
  </si>
  <si>
    <t>f0 =</t>
  </si>
  <si>
    <t>Ctcor (nom) =</t>
  </si>
  <si>
    <t>Optical Sensor(s)</t>
  </si>
  <si>
    <t xml:space="preserve">   </t>
  </si>
  <si>
    <t>WET Labs</t>
  </si>
  <si>
    <t>(BB2F-VMG)</t>
  </si>
  <si>
    <t>(BB2FL-VMT)</t>
  </si>
  <si>
    <t>Dissolved Oxygen Sensor</t>
  </si>
  <si>
    <t>Sea-Bird 43f coefficients</t>
  </si>
  <si>
    <t xml:space="preserve">Soc = </t>
  </si>
  <si>
    <t>Foffset=</t>
  </si>
  <si>
    <t>A=</t>
  </si>
  <si>
    <t>B=</t>
  </si>
  <si>
    <t>C=</t>
  </si>
  <si>
    <t>D=</t>
  </si>
  <si>
    <t>SEAGLIDER - Trim and Balance</t>
  </si>
  <si>
    <t>SG</t>
  </si>
  <si>
    <t>Spreadsheet Usage Notes from Russ Light</t>
  </si>
  <si>
    <t xml:space="preserve">Comments: </t>
  </si>
  <si>
    <t>Enter data only where font is RED</t>
  </si>
  <si>
    <t>Density Trim</t>
  </si>
  <si>
    <t>Total Weight (in air), summed items</t>
  </si>
  <si>
    <t>gm</t>
  </si>
  <si>
    <t>Total Scale Weight</t>
  </si>
  <si>
    <t>Weight difference/"error"</t>
  </si>
  <si>
    <t>Variable wt, including nose-wt-plates</t>
  </si>
  <si>
    <t>Displaced Volume, measured in tank</t>
  </si>
  <si>
    <t>cc</t>
  </si>
  <si>
    <t>diff</t>
  </si>
  <si>
    <t>see Ballast worksheet for more volume details</t>
  </si>
  <si>
    <t>Displaced Volume, summed items</t>
  </si>
  <si>
    <t>Water Density</t>
  </si>
  <si>
    <t>gm/cc</t>
  </si>
  <si>
    <t>Net Buoyancy (relative to neutral, positive floats, no thrust)</t>
  </si>
  <si>
    <t>predicted using this spreadsheet, actual may vary!</t>
  </si>
  <si>
    <t>Internal Oil Stroke (100% is all inside, ext. bladder empty)</t>
  </si>
  <si>
    <t>A/D counts</t>
  </si>
  <si>
    <t>(input %, not counts)</t>
  </si>
  <si>
    <t>($PITCH_VBD_SHIFT)</t>
  </si>
  <si>
    <t xml:space="preserve"> cm per cc</t>
  </si>
  <si>
    <t xml:space="preserve">Pitch &amp; Roll Trim </t>
  </si>
  <si>
    <t>Longitudinal CG</t>
  </si>
  <si>
    <t>cm</t>
  </si>
  <si>
    <t>inches</t>
  </si>
  <si>
    <t>Longitudinal CB</t>
  </si>
  <si>
    <t>LCB-LCG Separation</t>
  </si>
  <si>
    <t>Pitch-mass Stroke (100% is fully aft, nominal is 70%)</t>
  </si>
  <si>
    <t>Pitch-mass (batt) Location</t>
  </si>
  <si>
    <t>Vehicle Pitch Angle (positive is nose up)</t>
  </si>
  <si>
    <t>deg</t>
  </si>
  <si>
    <t>(goal is change of 15-20 deg per cm travel, use goal-seek on Location by +/-1cm to test)</t>
  </si>
  <si>
    <t>Vertical CG (VCG)</t>
  </si>
  <si>
    <t>(goal is ~ -0.56 from prior builds)</t>
  </si>
  <si>
    <t>Computed VCB</t>
  </si>
  <si>
    <t>(goal is ~0.05 from prior builds)</t>
  </si>
  <si>
    <t>VCB-VCG Separation</t>
  </si>
  <si>
    <t>(goal is ~0.61 from prior builds)</t>
  </si>
  <si>
    <t>Roll-mass (batt) Angle</t>
  </si>
  <si>
    <t>Vehicle Roll Angle</t>
  </si>
  <si>
    <t>(goal is 20 deg Vehicle roll per 40 deg Battery Roll, but eqn had circular reference, now repl w/"20")</t>
  </si>
  <si>
    <t>Total</t>
  </si>
  <si>
    <t>Moment</t>
  </si>
  <si>
    <t>Assy.</t>
  </si>
  <si>
    <t>Part #</t>
  </si>
  <si>
    <t>Qty</t>
  </si>
  <si>
    <t>Weight</t>
  </si>
  <si>
    <t>LCG</t>
  </si>
  <si>
    <t>Volume</t>
  </si>
  <si>
    <t>Total Vol</t>
  </si>
  <si>
    <t>LCB</t>
  </si>
  <si>
    <t>VCG&amp;B</t>
  </si>
  <si>
    <t>VCG</t>
  </si>
  <si>
    <t>VCB</t>
  </si>
  <si>
    <t>Assy. Level</t>
  </si>
  <si>
    <t>Description</t>
  </si>
  <si>
    <t>(or Assy Wt)</t>
  </si>
  <si>
    <t>grams</t>
  </si>
  <si>
    <t>inch</t>
  </si>
  <si>
    <t>gm-cm</t>
  </si>
  <si>
    <t>cc-cm</t>
  </si>
  <si>
    <t xml:space="preserve">Complete fairing &amp; antenna </t>
  </si>
  <si>
    <t>Subtotal (summed) Weight</t>
  </si>
  <si>
    <t>Scale Weight</t>
  </si>
  <si>
    <t>Summed volume</t>
  </si>
  <si>
    <t>sum-diff's</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</si>
  <si>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</si>
  <si>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</si>
  <si>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</si>
  <si>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</si>
  <si>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</si>
  <si>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</si>
  <si>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</si>
  <si>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</si>
  <si>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</si>
  <si>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</si>
  <si>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Joint Ring, Fwd to Aft Fairing (bonded to fwd fairing before paint;  Long ring = 875g, short ring 688g )</t>
  </si>
  <si>
    <t>Nose weight (bonded to fwd fairing after paint)</t>
  </si>
  <si>
    <t>Nose weight plates</t>
  </si>
  <si>
    <t>(2x) 1/4-20 x 2" SHCS + 1/4 LW  brass, nose plate to nose base (4 - 5 plates)</t>
  </si>
  <si>
    <t>55186 / 55253</t>
  </si>
  <si>
    <t>(2x) 1/4-20 x 1.5" SHCS + 1/4 LW  brass, nose plate to nose base (2 -3 plates)</t>
  </si>
  <si>
    <t>55185 / 55253</t>
  </si>
  <si>
    <t>(2x) 1/4-20 x .75" SHCS + 1/4 LW  brass, nose plate to nose base (1 plate)</t>
  </si>
  <si>
    <t>55473 / 55253</t>
  </si>
  <si>
    <t>52442 / 55487</t>
  </si>
  <si>
    <t>55298 / 55406</t>
  </si>
  <si>
    <t>lead goal</t>
  </si>
  <si>
    <t>currently at</t>
  </si>
  <si>
    <t>Assy., Aft Fairing</t>
  </si>
  <si>
    <t>Aft Fairing</t>
  </si>
  <si>
    <t>49896</t>
  </si>
  <si>
    <t>Wing, Starboard</t>
  </si>
  <si>
    <t xml:space="preserve">Wing, Port </t>
  </si>
  <si>
    <t>(8x) 10-32 x 1/2 PHMS PH + #10 FW + #10 LW, wings to fairing</t>
  </si>
  <si>
    <t>55241 / 55242</t>
  </si>
  <si>
    <t>Rudder</t>
  </si>
  <si>
    <t>(2x) 1/4-20 x 2" FHMS, rudder to rudder shoe</t>
  </si>
  <si>
    <t>Trim lead at rudder tube (5" strip)</t>
  </si>
  <si>
    <t>Trim Lead Tape</t>
  </si>
  <si>
    <t>Assy.,  Antenna</t>
  </si>
  <si>
    <t>52336 / 52341 / 52454 / 52476 / 55361</t>
  </si>
  <si>
    <t>Rudder Shoe - PN 52340</t>
  </si>
  <si>
    <t>Comms CA W1 &amp; Dummy plug</t>
  </si>
  <si>
    <t>52231 / 55309</t>
  </si>
  <si>
    <t>Glue, Black Max</t>
  </si>
  <si>
    <t>Line, dummy plug retainer</t>
  </si>
  <si>
    <t>Cap (DGO protector during build - do not weigh)</t>
  </si>
  <si>
    <t>Assy., Aanderaa Optode Oxygen Sensor</t>
  </si>
  <si>
    <t>52220 / 52485 / 52486 / 55239 / 55321</t>
  </si>
  <si>
    <t>O2 Sensor Cable Assembly</t>
  </si>
  <si>
    <t>Assy., SBE 43f Oxygen Sensor</t>
  </si>
  <si>
    <t>52356 / 52501 / 55214 / 52311 / 55210</t>
  </si>
  <si>
    <t>Plug assy, SBE 43f plenum</t>
  </si>
  <si>
    <t>Wet Labs sensor Assy. (WL BB2F-VMG sensor, (2x) sensor clamp, (2x) 8-32 x 5/8 FHMS - sensor clamp to fairing)</t>
  </si>
  <si>
    <t>52296 / 52312 / 55245</t>
  </si>
  <si>
    <t>Wet Labs sensor Assy. (WL Triplet sensor, (2x) Wet labs sensor clamp, (2x) 8-32 x 5/8 FHMS - sensor clamp to fairing)</t>
  </si>
  <si>
    <t>55381/ 52312 / 55245</t>
  </si>
  <si>
    <t>55520</t>
  </si>
  <si>
    <t>Assy., Pupa</t>
  </si>
  <si>
    <t>Complete pupae volume - sum this sheet</t>
  </si>
  <si>
    <t>Position B (Spare):  IE55 dummy plug</t>
  </si>
  <si>
    <t>55309</t>
  </si>
  <si>
    <t>Position C (Optics Sensor / spare):  IE55 dummy plug</t>
  </si>
  <si>
    <t>Position D (Oxygen sensor / spare):  IE55 dummy plug</t>
  </si>
  <si>
    <t>Position E (Spare):  IE55 dummy plug</t>
  </si>
  <si>
    <t>Position F (Spare):  IE55 dummy plug</t>
  </si>
  <si>
    <t>O-Ring, E70-270, Endcap to Batt Hull</t>
  </si>
  <si>
    <t>52411</t>
  </si>
  <si>
    <t>(2x) 6-32 x 1/2 SHCS w/ LW + (5x) 6-32 x 5/8 with zincs, endcap to battery hull</t>
  </si>
  <si>
    <t>55183 / 55217 / 55214 / 49884</t>
  </si>
  <si>
    <t>O-Ring, E70-270,  Bulkhead to batt. hull</t>
  </si>
  <si>
    <t>(2x) 6-32 x 1/2 SHCS w/ LW + (6x) 6-32 x 5/8 with zincs, bulkhead to battery hull</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</si>
  <si>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</si>
  <si>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</si>
  <si>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</si>
  <si>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</si>
  <si>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</si>
  <si>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</si>
  <si>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</si>
  <si>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</si>
  <si>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</si>
  <si>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</si>
  <si>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Endcap, Aft</t>
  </si>
  <si>
    <t>49815</t>
  </si>
  <si>
    <t>(2x) Roll pin, 5/32 OD x 3/8, Pump anti rotation</t>
  </si>
  <si>
    <t>Connector, Male, 1/8 NPT x 1/4 tube, alum</t>
  </si>
  <si>
    <t>52432</t>
  </si>
  <si>
    <t>Connector, Male, 1/8 NPT x 1/4 tube, SS</t>
  </si>
  <si>
    <t>52429</t>
  </si>
  <si>
    <t>Assy, Solenoid Valve, Skinner</t>
  </si>
  <si>
    <t>52254</t>
  </si>
  <si>
    <t>Adaptor, Male, 1/8 NPT x 1/4 M, SS</t>
  </si>
  <si>
    <t>52430</t>
  </si>
  <si>
    <t>Branch Tee, Male, 1/4 tube x 1/8 NPT x 1/4 tube, alum</t>
  </si>
  <si>
    <t>52433</t>
  </si>
  <si>
    <t>Tubing, 1/4 DIA x 8"</t>
  </si>
  <si>
    <t>52419</t>
  </si>
  <si>
    <t>Tubing, 1/4 Dia x 6.0"</t>
  </si>
  <si>
    <t>Check Valve, Kepner 204 A-1</t>
  </si>
  <si>
    <t>52448</t>
  </si>
  <si>
    <t>Union Elbow, Male, 1/4 tube x 1/4 tube, alum</t>
  </si>
  <si>
    <t>52435</t>
  </si>
  <si>
    <t>Tubing, 1/4 DIA x 9.625"</t>
  </si>
  <si>
    <t>Run Tee, Male,1/4 tube x 1/4 tube x 1/8 NPT, alum</t>
  </si>
  <si>
    <t>52428</t>
  </si>
  <si>
    <t>Tubing, 1/4 Dia x 4.375"</t>
  </si>
  <si>
    <t>Seal Washer</t>
  </si>
  <si>
    <t>LeDuc Output Screw</t>
  </si>
  <si>
    <t>Hydraulic Pump, LeDuc</t>
  </si>
  <si>
    <t>52348</t>
  </si>
  <si>
    <t>Hydraulic endcap</t>
  </si>
  <si>
    <t>Ball Bearing, 8mm ID x 16mm OD</t>
  </si>
  <si>
    <t>52459</t>
  </si>
  <si>
    <t>O-Ring, N70-032, hydraulic endcap</t>
  </si>
  <si>
    <t>52407</t>
  </si>
  <si>
    <t>Connector, Male, 1/16 NPT x 1/8 tube, brass</t>
  </si>
  <si>
    <t>52436</t>
  </si>
  <si>
    <t>Tubing, 1/8 Dia. X 10.5"</t>
  </si>
  <si>
    <t>52418</t>
  </si>
  <si>
    <t>Magnetic Seal</t>
  </si>
  <si>
    <t>52353</t>
  </si>
  <si>
    <t>(6x) 6-32 x 1/2 SHCS + #6 LW, hydraulic encap to encap</t>
  </si>
  <si>
    <t>Lee Plug Set</t>
  </si>
  <si>
    <t>52445 / 52446</t>
  </si>
  <si>
    <t>Check Valve (altered item Kepner 1106 A-1-1) + O-Ring (N70 3-906)</t>
  </si>
  <si>
    <t>49852 / 52408</t>
  </si>
  <si>
    <t xml:space="preserve">Bladder, External </t>
  </si>
  <si>
    <t>52441</t>
  </si>
  <si>
    <t>Nut, Bladder</t>
  </si>
  <si>
    <t>49802</t>
  </si>
  <si>
    <t>Position A (Comms):  IE55 w o-ring, CA W17, J1</t>
  </si>
  <si>
    <t>Position B (Optode / Spare):  port plug w/ o-ring</t>
  </si>
  <si>
    <t>Position C (Optics Sensor / spare):  IE55 w o-ring CA W30, J5</t>
  </si>
  <si>
    <t>Position D (Oxygen sensor / spare):  port plug w/ o-ring</t>
  </si>
  <si>
    <t>Position E (Spare):  IE55 w/ o-ring</t>
  </si>
  <si>
    <t>Position F (Spare):  IE55 w/ o-ring</t>
  </si>
  <si>
    <t>Iridium/GPS Ant., conn/o-ring/ CA W5, J2</t>
  </si>
  <si>
    <t>52241</t>
  </si>
  <si>
    <t xml:space="preserve"> Vacuum/pressure relief valve (deep sea power)</t>
  </si>
  <si>
    <t>52449</t>
  </si>
  <si>
    <t>Pump Plate, Inner</t>
  </si>
  <si>
    <t>Assy, Main pump motor w/ CA W8,W18</t>
  </si>
  <si>
    <t>(3x) M2 x 6 FHMS  (motor to interface plate)</t>
  </si>
  <si>
    <t>Bore Reducer</t>
  </si>
  <si>
    <t>52351</t>
  </si>
  <si>
    <t>Pulley, LeDuc pump motor</t>
  </si>
  <si>
    <t>(6x) 4-40 x 3/8 FHMS, hyd end cap to inner plate</t>
  </si>
  <si>
    <t>55229</t>
  </si>
  <si>
    <t>Pulley, LeDuc pump</t>
  </si>
  <si>
    <t>Timing Belt</t>
  </si>
  <si>
    <t>52357</t>
  </si>
  <si>
    <t>Pump Plate, Outer</t>
  </si>
  <si>
    <t>(4x) 4-40 x 3/16 SHCS + #4 LW, outer plate to inner plate</t>
  </si>
  <si>
    <t>55296</t>
  </si>
  <si>
    <t>Assy., Boost Pump</t>
  </si>
  <si>
    <t>Pump Bracket</t>
  </si>
  <si>
    <t>Motor, Chrge Pump w/ W34</t>
  </si>
  <si>
    <t>52288</t>
  </si>
  <si>
    <t>(2x) M2 x 6 FHMS, motor to bracket</t>
  </si>
  <si>
    <t>55203</t>
  </si>
  <si>
    <t>Magnet Rotor Housing</t>
  </si>
  <si>
    <t>52457</t>
  </si>
  <si>
    <t>(4x) 6-32 x 1/4 PHMS, bracket to housing</t>
  </si>
  <si>
    <t>55209</t>
  </si>
  <si>
    <t>Rotary Magnet</t>
  </si>
  <si>
    <t>52455</t>
  </si>
  <si>
    <t xml:space="preserve">Pumphead, Micropump + mounting plate + (3x) 4-40 x 3/8 FHMS  </t>
  </si>
  <si>
    <t>52360 / 52456 / 55229</t>
  </si>
  <si>
    <t>(4x) 4-40 x 3/16 SHCS + #4 LW, housing to flange</t>
  </si>
  <si>
    <t>55296 / 55233</t>
  </si>
  <si>
    <t>(2x) Elbow, 1/8 npt x 1/4 tube, alum</t>
  </si>
  <si>
    <t>52431</t>
  </si>
  <si>
    <t>Filter, Balston</t>
  </si>
  <si>
    <t>52425</t>
  </si>
  <si>
    <t>Assy., Hydraulic Reservoir</t>
  </si>
  <si>
    <t>Piston, Diaphragm</t>
  </si>
  <si>
    <t>Diaphragm, Internal (Bellofram)</t>
  </si>
  <si>
    <t>52359</t>
  </si>
  <si>
    <t>Sikaflex Adhesive Compound</t>
  </si>
  <si>
    <t>55459</t>
  </si>
  <si>
    <t>Cylinder Head, Diaphragm</t>
  </si>
  <si>
    <t>Branch Tee, Male, 1/4 tube x 1/8 NPT x 1/4 tube, brass + Plastic plug (X59P4)</t>
  </si>
  <si>
    <t>52443</t>
  </si>
  <si>
    <t>Elbow, 1/8 NPT M x 1/8 NPT M, brass</t>
  </si>
  <si>
    <t>52426</t>
  </si>
  <si>
    <t>Kepner Chk Valve 404A-1-10</t>
  </si>
  <si>
    <t>52447</t>
  </si>
  <si>
    <t>Elbow, 1/8 npt x 1/8 tube, alum</t>
  </si>
  <si>
    <t>52427</t>
  </si>
  <si>
    <t>Bleed screw, 10-32 x .125 PHMS with seal</t>
  </si>
  <si>
    <t>55477</t>
  </si>
  <si>
    <t>Cylinder, Diaphragm</t>
  </si>
  <si>
    <t>55251</t>
  </si>
  <si>
    <t>Standoff (starboard)</t>
  </si>
  <si>
    <t>55299</t>
  </si>
  <si>
    <t>Standoff (port)</t>
  </si>
  <si>
    <t>(4x) 6-32 x 3/8 SHCS, standoff to cylinder</t>
  </si>
  <si>
    <t>55183</t>
  </si>
  <si>
    <t>(2x) Saddles, mounting, Aft PCB + (4x) Nylon 4-40 x 1/4 PHMS</t>
  </si>
  <si>
    <t>52373 / 55257</t>
  </si>
  <si>
    <t>(2x) Saddles, mounting, C PCB + (4x) Nylon 4-40 x 1/4 PHMS</t>
  </si>
  <si>
    <t>49888 / 55257</t>
  </si>
  <si>
    <t>(2x) Saddles, mounting, T PCB + (4x) Nylon 4-40 x 1/4 PHMS</t>
  </si>
  <si>
    <t>(2x) Saddles, mounting, O2 PCB + (4x) Nylon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</si>
  <si>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</si>
  <si>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</si>
  <si>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</si>
  <si>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</si>
  <si>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</si>
  <si>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</si>
  <si>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 xml:space="preserve">55250 / 55212 / 55225 </t>
  </si>
  <si>
    <t>(2x) 6-32 x 1/2 SHCS + #6 LW, boost pump bracket to endcap</t>
  </si>
  <si>
    <t>(4x) 6-32 x 1/2 SHCS + #6 LW, cylinder standoff to endcap</t>
  </si>
  <si>
    <t>aft endcap electronic parts - mount with CT sail</t>
  </si>
  <si>
    <t xml:space="preserve">Aft Terminal PCB </t>
  </si>
  <si>
    <t>55302</t>
  </si>
  <si>
    <t>SBE Conductivity PCB (included with sensors)</t>
  </si>
  <si>
    <t>Conductivity, PCB jumper, CA W26</t>
  </si>
  <si>
    <t>Shield, Radiation, C PCB + (4x) 2-56 x 1/4 BHCS</t>
  </si>
  <si>
    <t>49887 / 55221</t>
  </si>
  <si>
    <t>SBE Temperature PCB (included with sensors)</t>
  </si>
  <si>
    <t>Temperature, PCB jumper, CA W25</t>
  </si>
  <si>
    <t>Shield, Radiation, T PCB + (4x) 2-56 x 1/4 BHCS</t>
  </si>
  <si>
    <t>52371 / 55221</t>
  </si>
  <si>
    <t>SBE Oxygen PCB (only used with SBE 43f) ((included with sensors)</t>
  </si>
  <si>
    <t>Oxygen, PCB jumper, CA W33 (only used with SBE 43f)</t>
  </si>
  <si>
    <t>Ribbon Cable (W13) (gray)</t>
  </si>
  <si>
    <t>52248</t>
  </si>
  <si>
    <t>Ribbon  Cable (W14) (rainbow)</t>
  </si>
  <si>
    <t>52249</t>
  </si>
  <si>
    <t>CT Sensor Sail Assembly (stanchion, guard, nut, nacelle, (6x) 6-32 x 5/16 FHMS, o-ring (E70-016), o-ring (E70-012), SBE components)</t>
  </si>
  <si>
    <t>Assy., Mass shifter</t>
  </si>
  <si>
    <t>Assy., Bulkhead</t>
  </si>
  <si>
    <t>Hull Bulkhead</t>
  </si>
  <si>
    <t>pressure test with partial fwd hull 49877 and complete 54844/5</t>
  </si>
  <si>
    <t>Centering Spring, Roll Bearing</t>
  </si>
  <si>
    <t>Wire Bridge with vinyl tape wrap</t>
  </si>
  <si>
    <t>(2x) 6-32 x 5/16 FHMS, wire bridge to bulkhead</t>
  </si>
  <si>
    <t>Snap Ring, Roll Bearing</t>
  </si>
  <si>
    <t>(4x) 6-32 x 1/2 FHMS, roll gear block to bulkhead</t>
  </si>
  <si>
    <t>Spur Gear, Delrin, Roll Pot.</t>
  </si>
  <si>
    <t>Battery Pack, HV with CA W2 + shim</t>
  </si>
  <si>
    <t>Bottom Ballast Weight</t>
  </si>
  <si>
    <t>(8x) 4-40 x 3/8 SHCS, ballast to batt encl endplates</t>
  </si>
  <si>
    <t>Assy., Paine Pressure</t>
  </si>
  <si>
    <t>Paine Sensor w/ CA W12</t>
  </si>
  <si>
    <t xml:space="preserve">Male Connector, 1/16 NPT x 1/8 tube </t>
  </si>
  <si>
    <t>Female Connector, 7/16-20 UNF x 1/8 tube + O-Ring (E70-012)</t>
  </si>
  <si>
    <t>49816 / 52409</t>
  </si>
  <si>
    <t>Tubing, 0.125 D x 1.1 L SS</t>
  </si>
  <si>
    <t>FS-1265 Fluid in Pressure S.</t>
  </si>
  <si>
    <t>55472</t>
  </si>
  <si>
    <t>Assy., Druck Pressure Sensor</t>
  </si>
  <si>
    <t>Druck Sensor w/ CA W12</t>
  </si>
  <si>
    <t>55517</t>
  </si>
  <si>
    <t>52438</t>
  </si>
  <si>
    <t>Male connector, 1/4 NPT  x 1/8 tube</t>
  </si>
  <si>
    <t>52347</t>
  </si>
  <si>
    <t>Tubing, 0.125 D x 1.2  L SS</t>
  </si>
  <si>
    <t>Assy., Pitch  Mechanism</t>
  </si>
  <si>
    <t>(2x) Bracket, Linear Brng Rail-fwd</t>
  </si>
  <si>
    <t>(2x) Bracket, Linear Brng Rail-aft</t>
  </si>
  <si>
    <t>(4x) Linear Bearing Car</t>
  </si>
  <si>
    <t>(2x) Linear Brng Rail; THK RSR12VM</t>
  </si>
  <si>
    <t>(4x) 6-32 x 5/8 FHMS + 6-32 nylok, linear rail to bracket - fwd</t>
  </si>
  <si>
    <t>55211 / 55216</t>
  </si>
  <si>
    <t>(4x) 6-32 x 5/8 FHMS + 6-32 nylok, linear rail to bracket - aft</t>
  </si>
  <si>
    <t>(2x) Batt. encl side plate</t>
  </si>
  <si>
    <t>(16x) M6 x 6 FHCS, batt. encl side plate to bearing car</t>
  </si>
  <si>
    <t>Batt. encl endplate, fwd</t>
  </si>
  <si>
    <t>Batt. encl endplate, aft</t>
  </si>
  <si>
    <t>(8x) 4-40 x 3/8 FHCS, side plate to batt encl ends</t>
  </si>
  <si>
    <t>55229 / 55280</t>
  </si>
  <si>
    <t>Fwd Endplate, MassShifter</t>
  </si>
  <si>
    <t>Bearing, Ball Screw Shaft-fwd, .375 ID x .875 OD</t>
  </si>
  <si>
    <t>52458</t>
  </si>
  <si>
    <t>(2x) Retaining Ring,  internal spiral, Bearing-fwd</t>
  </si>
  <si>
    <t>55271</t>
  </si>
  <si>
    <t>Aft End Plate, MassShifter</t>
  </si>
  <si>
    <t>Bearing, Ball Screw Shaft-aft, .375 ID x .875 OD</t>
  </si>
  <si>
    <t>(2x) Retaining Ring,  internal spiral, Bearing-aft</t>
  </si>
  <si>
    <t>Internal Ring Gear, Roll</t>
  </si>
  <si>
    <t>49854 / 52488</t>
  </si>
  <si>
    <t>(6x) 4-40 x 3/8 FHMS, internal gear to fwd endplate</t>
  </si>
  <si>
    <t>Roll Bearing; KU075 XPO</t>
  </si>
  <si>
    <t>52487</t>
  </si>
  <si>
    <t>Ball Screw Shaft + spacers</t>
  </si>
  <si>
    <t>49820 / 55188</t>
  </si>
  <si>
    <t xml:space="preserve">Worm Gear, Pitch, Brass G1035 </t>
  </si>
  <si>
    <t xml:space="preserve">Roll Pin, pitch worm gear to shaft, 3/32 OD x 5/8 L  </t>
  </si>
  <si>
    <t>55272</t>
  </si>
  <si>
    <t>(3x) Retaining Plate; Roll Bearing</t>
  </si>
  <si>
    <t>(6x) 6-32 x 1/2 FHMS, ring plate to fwd plate</t>
  </si>
  <si>
    <t>Ball Screw Nut THK BTP0502</t>
  </si>
  <si>
    <t>52403</t>
  </si>
  <si>
    <t>Mount, Ball Nut Screw</t>
  </si>
  <si>
    <t>(4x) 8-32 x 5/8 SHCS + #8 LW, bracket to batt end plate, fwd</t>
  </si>
  <si>
    <t>55244 / 55247</t>
  </si>
  <si>
    <t>(4x) 8-32 x 5/8 SHCS + #8 LW, bracket to batt end plate, aft</t>
  </si>
  <si>
    <t>Retaining Ring, external .338 ID, Shaft-aft</t>
  </si>
  <si>
    <t>55263</t>
  </si>
  <si>
    <t>Top Plate</t>
  </si>
  <si>
    <t>52493</t>
  </si>
  <si>
    <t>(4x) 4-40 x 3/8 SHCS + #4 FW, top plate assy to batt encl end</t>
  </si>
  <si>
    <t>55228 / 55280</t>
  </si>
  <si>
    <t>(2x) 6-32 x 3/8 SHCS + #6 FW + #6 LW, nut retainer to top plate assy</t>
  </si>
  <si>
    <t>55213 / 55217</t>
  </si>
  <si>
    <t>Motor, Pitch with C.A. W41</t>
  </si>
  <si>
    <t>Interface Plate, Pitch Motor</t>
  </si>
  <si>
    <t>(2x) M2 x 6 CHMS + M2 LW, motor to interface plate</t>
  </si>
  <si>
    <t>55201 / 55200</t>
  </si>
  <si>
    <t>Gear Block, Pitch Motor</t>
  </si>
  <si>
    <t>(2x) Bearings, Pitch Motor, .25 ID x .625 OD flanged</t>
  </si>
  <si>
    <t>52452</t>
  </si>
  <si>
    <t>Spacers, Pitch motor shaft</t>
  </si>
  <si>
    <t>55187 / 55267 / 55268 / 55260</t>
  </si>
  <si>
    <t>Worm, Pitch</t>
  </si>
  <si>
    <t>52467</t>
  </si>
  <si>
    <t xml:space="preserve">Roll pin, pitch worm to motor shaft, .094 OD x .375 L  </t>
  </si>
  <si>
    <t>55276</t>
  </si>
  <si>
    <t>(4x) 2-56 x 5/16 PHMS, interface plate to gear block</t>
  </si>
  <si>
    <t>55219</t>
  </si>
  <si>
    <t>Gear Block shim plates, pitch motor</t>
  </si>
  <si>
    <t>55533</t>
  </si>
  <si>
    <t xml:space="preserve">(4x) Shoulder screw, .125 dia x 7/16 L </t>
  </si>
  <si>
    <t>55222</t>
  </si>
  <si>
    <t>(4x) # 4 nylok</t>
  </si>
  <si>
    <t>55232</t>
  </si>
  <si>
    <t>10 turn Potentiometer w/ nut and cable W41, pitch</t>
  </si>
  <si>
    <t>52287</t>
  </si>
  <si>
    <t>Spur gear, Pitch shaft, 48 tooth, delrin</t>
  </si>
  <si>
    <t>Pitch pot gear, 72 tooth, delrin</t>
  </si>
  <si>
    <t>*</t>
  </si>
  <si>
    <t>Assy., Roll Motor</t>
  </si>
  <si>
    <t>Gear Block, Roll Motor</t>
  </si>
  <si>
    <t>(4x) Bearing, Roll mechanism, .25 ID x .625 OD flanged</t>
  </si>
  <si>
    <t>Motor, Roll w/ shaft and C.A. W15</t>
  </si>
  <si>
    <t>Interface Plate, Roll Motor</t>
  </si>
  <si>
    <t>Spacers, Roll Motor Shaft</t>
  </si>
  <si>
    <t>55266 / 55267 / 55260</t>
  </si>
  <si>
    <t>Worm, Roll</t>
  </si>
  <si>
    <t>Roll gear shaft</t>
  </si>
  <si>
    <t>Worm Gear, Roll</t>
  </si>
  <si>
    <t>Roll Pin, Roll Gear Shaft, .063 OD x .75 L</t>
  </si>
  <si>
    <t>55275</t>
  </si>
  <si>
    <t>Spacers, Ret. Rings, roll gear shaft</t>
  </si>
  <si>
    <t>55266 / 55267 / 55268 / 55266</t>
  </si>
  <si>
    <t>Spur Gear, Roll</t>
  </si>
  <si>
    <t>Roll Pin, Roll Spur Gear, .063 dia x .500</t>
  </si>
  <si>
    <t>Potentiometer, Roll w/ nut and CA W16</t>
  </si>
  <si>
    <t>Assy., Electronics</t>
  </si>
  <si>
    <t>Electronics rail, port</t>
  </si>
  <si>
    <t>Electronics rail, starboard</t>
  </si>
  <si>
    <t>Seaglider Mainboard (includes all motherboard electronics, TT8, CF8 w/ flash disk, all permanent pigtails)</t>
  </si>
  <si>
    <t>52290-B.4</t>
  </si>
  <si>
    <t xml:space="preserve"> Insulation Sheet-OEM/Main</t>
  </si>
  <si>
    <t>52370</t>
  </si>
  <si>
    <t>(6x) 6-32 x 1/4 PHMS, main board to rails</t>
  </si>
  <si>
    <t>55237</t>
  </si>
  <si>
    <t>Assy., OEM Navigation Board (includes transponder PCB, transformer/inductor, capacitors, GPS reciever, W6 GPS serial interface, DC-DC converter, Cable Assembly W7, all soldered on wiring)</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</si>
  <si>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</si>
  <si>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</si>
  <si>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</si>
  <si>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</si>
  <si>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</si>
  <si>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52237</t>
  </si>
  <si>
    <t>Battery Pack Cage, LV</t>
  </si>
  <si>
    <t>(6x) 6-32 x 1/4 PHMS + #6 LW, batt. cage to rails</t>
  </si>
  <si>
    <t>Assy., Battery Hull Sections</t>
  </si>
  <si>
    <t>Hull, Fwd Battery</t>
  </si>
  <si>
    <t>Hull, Aft Battery</t>
  </si>
  <si>
    <t>Joint Ring , battery hulls</t>
  </si>
  <si>
    <t>(8x) 6-32 x 3/4 SHCS + #6 LW, joint ring to fwd/aft batt. Hull</t>
  </si>
  <si>
    <t>55214 / 55217</t>
  </si>
  <si>
    <t>(2x) O-Ring, E70-271</t>
  </si>
  <si>
    <t>(12x) Clips, Rib</t>
  </si>
  <si>
    <t>(12x) Clips, Wiring</t>
  </si>
  <si>
    <t>Oil Absorption pad, 1.9" x 10.125" + (2x) rib clips</t>
  </si>
  <si>
    <t>55527 / 49883</t>
  </si>
  <si>
    <t>Assy., Forward Hull Sections</t>
  </si>
  <si>
    <t>Endcap, Forward</t>
  </si>
  <si>
    <t>Acoustic transducer (ITC-3013), w/ cable W36</t>
  </si>
  <si>
    <t>52267 / 52223</t>
  </si>
  <si>
    <t>O-Ring, E70-238, transducer to Endcap</t>
  </si>
  <si>
    <t>(6x) Alum 1/4-20 x 3/4 SHCS + 1/4 LW, xducer to end cap</t>
  </si>
  <si>
    <t>55236 / 55252</t>
  </si>
  <si>
    <t>Hull, Electronics</t>
  </si>
  <si>
    <t>O-Ring, E70-263, elec hull to fwd endcap</t>
  </si>
  <si>
    <t>(8x) 6-32 x 1/2 SHCS + #6 LW, elec hull to fwd endcap</t>
  </si>
  <si>
    <t>(pressure test above components w/ bulkhead and pressure sensor assy)</t>
  </si>
  <si>
    <t>Compass bracket</t>
  </si>
  <si>
    <t>Compass w/compass carrier PCB</t>
  </si>
  <si>
    <t>55305 / 52466</t>
  </si>
  <si>
    <t>(4x) 4-40 x 3/8 SHCS + #4 x 1/8L stand off</t>
  </si>
  <si>
    <t>55256 / 55282</t>
  </si>
  <si>
    <t>(2x) 4-40 X 3/8 SHCS + #4 LW, comp mt to fwd encap</t>
  </si>
  <si>
    <t>55228 / 55233</t>
  </si>
  <si>
    <t>Cable Assembly W9  (compass cable)</t>
  </si>
  <si>
    <t>SG lead worksheet</t>
  </si>
  <si>
    <t>SG#</t>
  </si>
  <si>
    <t>General notes re: usage</t>
  </si>
  <si>
    <t>date</t>
  </si>
  <si>
    <t>time</t>
  </si>
  <si>
    <t>1pm</t>
  </si>
  <si>
    <t>who</t>
  </si>
  <si>
    <t>MJ</t>
  </si>
  <si>
    <t>Wt. goal</t>
  </si>
  <si>
    <t>Actual</t>
  </si>
  <si>
    <t>grams/pcs</t>
  </si>
  <si>
    <t>sum grams</t>
  </si>
  <si>
    <t>Nose plates  (qty)</t>
  </si>
  <si>
    <t>pc-1</t>
  </si>
  <si>
    <t>pc-2</t>
  </si>
  <si>
    <t>pc-3</t>
  </si>
  <si>
    <t>pc-4</t>
  </si>
  <si>
    <t>pc-5</t>
  </si>
  <si>
    <t>pc-6</t>
  </si>
  <si>
    <t>pc-7</t>
  </si>
  <si>
    <t>pc-8</t>
  </si>
  <si>
    <t>weights</t>
  </si>
  <si>
    <t>screws</t>
  </si>
  <si>
    <t>Bottom</t>
  </si>
  <si>
    <t># of pcs tape</t>
  </si>
  <si>
    <t>Port side</t>
  </si>
  <si>
    <t>Starboard side</t>
  </si>
  <si>
    <t>Top</t>
  </si>
  <si>
    <t>sum - tape</t>
  </si>
  <si>
    <t>Scale weight of fwd fairing after lead added</t>
  </si>
  <si>
    <t>At fwd edge stern tube</t>
  </si>
  <si>
    <t>Scale weight of aft fairing after lead added</t>
  </si>
  <si>
    <t>Whole glider weight - BEFORE PUTTING IN TANK - DRY!!!</t>
  </si>
  <si>
    <t>Ballasting worksheet</t>
  </si>
  <si>
    <t>Conversions</t>
  </si>
  <si>
    <t>Units</t>
  </si>
  <si>
    <t xml:space="preserve">VBD </t>
  </si>
  <si>
    <t>counts/cc</t>
  </si>
  <si>
    <t>cc=cm3</t>
  </si>
  <si>
    <t>gm=grams</t>
  </si>
  <si>
    <t>cc/counts</t>
  </si>
  <si>
    <t>counts=AtoD counts</t>
  </si>
  <si>
    <t>In tank to find original volume of SG</t>
  </si>
  <si>
    <t>Tank Temp</t>
  </si>
  <si>
    <t>deg C</t>
  </si>
  <si>
    <t>Tank Salinity (meas)</t>
  </si>
  <si>
    <t>ppt</t>
  </si>
  <si>
    <t>Tank Salinity (corr)</t>
  </si>
  <si>
    <t>ratio for tank salt</t>
  </si>
  <si>
    <t>Tank Density</t>
  </si>
  <si>
    <t>gram/cc</t>
  </si>
  <si>
    <t>calculated using web-calculator</t>
  </si>
  <si>
    <t>SG Mass</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</si>
  <si>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</si>
  <si>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</si>
  <si>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</si>
  <si>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</si>
  <si>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</si>
  <si>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</si>
  <si>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</si>
  <si>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</si>
  <si>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</si>
  <si>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</si>
  <si>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</si>
  <si>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</si>
  <si>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</si>
  <si>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(obsv in tank)</t>
  </si>
  <si>
    <t>Vol min (oil inside)</t>
  </si>
  <si>
    <t>cc (neg. sinks)</t>
  </si>
  <si>
    <t>Max movable vol.</t>
  </si>
  <si>
    <t>New enviornment ballasting</t>
  </si>
  <si>
    <t>SG Mass (observed)</t>
  </si>
  <si>
    <t>at PS deployment</t>
  </si>
  <si>
    <t>SG Vol max (obsv/est)</t>
  </si>
  <si>
    <t>SG Vol min</t>
  </si>
  <si>
    <t>New enivron density</t>
  </si>
  <si>
    <t>g/cc</t>
  </si>
  <si>
    <t>Goal for thrust</t>
  </si>
  <si>
    <t xml:space="preserve">New Vol neutral </t>
  </si>
  <si>
    <t>lead density</t>
  </si>
  <si>
    <t>Change mass by</t>
  </si>
  <si>
    <t>vol lead change</t>
  </si>
  <si>
    <t>Projected new mass</t>
  </si>
  <si>
    <t>Proj. Vol. max</t>
  </si>
  <si>
    <t>VBD points for new environ</t>
  </si>
  <si>
    <t>Vol max</t>
  </si>
  <si>
    <t>Vol neutral (C_VBD)</t>
  </si>
  <si>
    <t>Vol min</t>
  </si>
  <si>
    <t>Actual new mass</t>
  </si>
  <si>
    <t>Est. Vol. neutral</t>
  </si>
  <si>
    <t>Est. C_VBD</t>
  </si>
  <si>
    <t>Tank and Puget Sound Notes</t>
  </si>
  <si>
    <t>Seaglider</t>
  </si>
  <si>
    <t>Date</t>
  </si>
  <si>
    <t>Action</t>
  </si>
  <si>
    <t>Maintenance sheet</t>
  </si>
  <si>
    <t xml:space="preserve">SG </t>
  </si>
  <si>
    <t>last updated</t>
  </si>
  <si>
    <t>Paine</t>
  </si>
  <si>
    <t>Druck</t>
  </si>
  <si>
    <t>Paine calibration data from sheet delivered with sensor</t>
  </si>
  <si>
    <t>211-75-710-05</t>
  </si>
  <si>
    <t>PCDR 4020</t>
  </si>
  <si>
    <t>Conversion to SG counts</t>
  </si>
  <si>
    <t>Excitation Voltage = 10.000V</t>
  </si>
  <si>
    <t>xxxxxx</t>
  </si>
  <si>
    <t>A/D Ref Voltage</t>
  </si>
  <si>
    <t>Response voltages in mV</t>
  </si>
  <si>
    <t>Volts/AD-count</t>
  </si>
  <si>
    <t>Pressure</t>
  </si>
  <si>
    <t>0 deg C</t>
  </si>
  <si>
    <t>30 deg C</t>
  </si>
  <si>
    <t>A/D Counts/Volt</t>
  </si>
  <si>
    <t>(PSIA)</t>
  </si>
  <si>
    <t>Increasing</t>
  </si>
  <si>
    <t>Decreasing</t>
  </si>
  <si>
    <t>14.x</t>
  </si>
  <si>
    <t>Max counts  (24 bit AD)</t>
  </si>
  <si>
    <t>xx.x</t>
  </si>
  <si>
    <t>Excitation Voltage</t>
  </si>
  <si>
    <t>5.000</t>
  </si>
  <si>
    <t>Druck calibration on APL dead-weight tester</t>
  </si>
  <si>
    <t>Pressure (psig)</t>
  </si>
  <si>
    <t>Variance</t>
  </si>
  <si>
    <t>Notes</t>
  </si>
  <si>
    <t>From dead-weight</t>
  </si>
  <si>
    <t>Mean reading</t>
  </si>
  <si>
    <t>(using 40 samples)</t>
  </si>
  <si>
    <t>After setting y-intercept with 40 samples</t>
  </si>
  <si>
    <t>Averages of increasing and decreasing and adjusted for Seaglider 5.000V excitation voltage</t>
  </si>
  <si>
    <t>Average</t>
  </si>
  <si>
    <t>0 Deg C</t>
  </si>
  <si>
    <t>30 Deg C</t>
  </si>
  <si>
    <t>Output</t>
  </si>
  <si>
    <t>(A/D counts)</t>
  </si>
  <si>
    <t>Slope Coefficient Units (PSIA/A-D )</t>
  </si>
  <si>
    <t>Slope calculations</t>
  </si>
  <si>
    <t>Intercept Coefficient (PSIA)</t>
  </si>
  <si>
    <t>Averages</t>
  </si>
  <si>
    <t>Pressure (psia)</t>
  </si>
  <si>
    <t>Std deviation</t>
  </si>
  <si>
    <t>Slope</t>
  </si>
  <si>
    <t>Intercept</t>
  </si>
  <si>
    <t>Error Analysis 0 Deg</t>
  </si>
  <si>
    <t>Error Analysis 30 Deg</t>
  </si>
  <si>
    <t>Calculated</t>
  </si>
  <si>
    <t>Error</t>
  </si>
  <si>
    <t>Intercept – psia</t>
  </si>
  <si>
    <t>Intercept – psig</t>
  </si>
  <si>
    <t>Use these values for Seaglider Calibration Coefficients</t>
  </si>
  <si>
    <t>Slope Coefficient Units (PSIG/A-D )</t>
  </si>
  <si>
    <t>Intercept Coefficient (PSIG)</t>
  </si>
  <si>
    <t>Motor Data</t>
  </si>
  <si>
    <t>Boost Pump motor</t>
  </si>
  <si>
    <t>Burn in time (min):</t>
  </si>
  <si>
    <t>Amp @ start of burn in (mA):</t>
  </si>
  <si>
    <t>Amp @ end of burn in (mA):</t>
  </si>
  <si>
    <t>Amp w/micro pump (mA):</t>
  </si>
  <si>
    <t>Main Pump Motor</t>
  </si>
  <si>
    <t xml:space="preserve">Amp w/main pump and oil (no load on bench) </t>
  </si>
  <si>
    <t>Pitch Motor</t>
  </si>
  <si>
    <t>Amp w/gear block assy. (mA):</t>
  </si>
  <si>
    <t>Roll Motor</t>
  </si>
  <si>
    <t>Amp w/gear block assy.:</t>
  </si>
  <si>
    <t>Material Density</t>
  </si>
  <si>
    <t>6061 T6 Alum</t>
  </si>
  <si>
    <t>Lead</t>
  </si>
  <si>
    <t>Naval Brass</t>
  </si>
  <si>
    <t>Stainless Steel</t>
  </si>
  <si>
    <t>Polypropylene</t>
  </si>
  <si>
    <t>Fairing fiberglass density**</t>
  </si>
  <si>
    <t xml:space="preserve">  Zinc</t>
  </si>
  <si>
    <t>PVC Density</t>
  </si>
  <si>
    <t>Neoprene Density</t>
  </si>
  <si>
    <t>Hydraulic Oil* Density</t>
  </si>
  <si>
    <t>PRC Wing Density</t>
  </si>
  <si>
    <t>** vary to balance overall density of glider</t>
  </si>
  <si>
    <t>*Mobil DTE 11M specfic gravity is 0.8683gm/cc weighed by Lehman 6/26/2001</t>
  </si>
  <si>
    <t>% sg_calib_constants.m</t>
  </si>
  <si>
    <t>% values from spreadsheet for easy inclusion of glider params into diveplot.m, etc.</t>
  </si>
  <si>
    <t>% basic glider and mission params</t>
  </si>
  <si>
    <t xml:space="preserve">id_str </t>
  </si>
  <si>
    <t>=</t>
  </si>
  <si>
    <t>;</t>
  </si>
  <si>
    <t xml:space="preserve">mass </t>
  </si>
  <si>
    <t>% from sum on trim sheet</t>
  </si>
  <si>
    <t xml:space="preserve">volmax </t>
  </si>
  <si>
    <t>% from ballast worksheet final table</t>
  </si>
  <si>
    <t xml:space="preserve">mission_title </t>
  </si>
  <si>
    <t>SFC_Port_Susan</t>
  </si>
  <si>
    <t xml:space="preserve">rho0 </t>
  </si>
  <si>
    <t>% from ballast worksheet for "new" evironment</t>
  </si>
  <si>
    <t>% software limits from cal sheet:</t>
  </si>
  <si>
    <t xml:space="preserve">pitch_min_cnts </t>
  </si>
  <si>
    <t xml:space="preserve">pitch_max_cnts </t>
  </si>
  <si>
    <t xml:space="preserve">roll_min_cnts </t>
  </si>
  <si>
    <t xml:space="preserve">roll_max_cnts </t>
  </si>
  <si>
    <t xml:space="preserve">vbd_min_cnts </t>
  </si>
  <si>
    <t xml:space="preserve">vbd_max_cnts </t>
  </si>
  <si>
    <t xml:space="preserve">vbd_cnts_per_cc </t>
  </si>
  <si>
    <t>% CT sensors cal constants</t>
  </si>
  <si>
    <t xml:space="preserve">calibcomm </t>
  </si>
  <si>
    <t>SN_0041_cal_25Apr06</t>
  </si>
  <si>
    <t>% SN and cal date</t>
  </si>
  <si>
    <t xml:space="preserve">t_g </t>
  </si>
  <si>
    <t xml:space="preserve">t_h </t>
  </si>
  <si>
    <t xml:space="preserve">t_i </t>
  </si>
  <si>
    <t xml:space="preserve">t_j </t>
  </si>
  <si>
    <t xml:space="preserve">c_g </t>
  </si>
  <si>
    <t xml:space="preserve">c_h </t>
  </si>
  <si>
    <t xml:space="preserve">c_i </t>
  </si>
  <si>
    <t xml:space="preserve">c_j </t>
  </si>
  <si>
    <t xml:space="preserve">cpcor </t>
  </si>
  <si>
    <t xml:space="preserve">ctcor </t>
  </si>
  <si>
    <t>sbe_cond_freq_min</t>
  </si>
  <si>
    <t>% kHz, from cal for 0 salinity</t>
  </si>
  <si>
    <t>sbe_cond_freq_max</t>
  </si>
  <si>
    <t>% kHz, est for greater than 34.9 sal max T</t>
  </si>
  <si>
    <t>sbe_temp_freq_min</t>
  </si>
  <si>
    <t>% kHz, from cal for 1 deg T</t>
  </si>
  <si>
    <t>sbe_temp_freq_max</t>
  </si>
  <si>
    <t>% kHz, from cal for 32.5 deg T</t>
  </si>
  <si>
    <t>% oxygen cal constants</t>
  </si>
  <si>
    <t>comm_oxy_type</t>
  </si>
  <si>
    <t>SBE_43f</t>
  </si>
  <si>
    <t>% spec SBE_43f or Aa_optode</t>
  </si>
  <si>
    <t xml:space="preserve">calibcomm_oxygen </t>
  </si>
  <si>
    <t>SN_430102_cal_25Apr06</t>
  </si>
  <si>
    <t xml:space="preserve">Soc </t>
  </si>
  <si>
    <t xml:space="preserve">Foffset </t>
  </si>
  <si>
    <t>A</t>
  </si>
  <si>
    <t>B</t>
  </si>
  <si>
    <t>C</t>
  </si>
  <si>
    <t>D</t>
  </si>
  <si>
    <t>% initial hydrodynamic model params</t>
  </si>
  <si>
    <t xml:space="preserve">hd_a </t>
  </si>
  <si>
    <t>% #s from SG115 in HI, July 2006</t>
  </si>
  <si>
    <t xml:space="preserve">hd_b </t>
  </si>
  <si>
    <t xml:space="preserve">hd_c </t>
  </si>
  <si>
    <t xml:space="preserve">  </t>
  </si>
  <si>
    <t>Rev 65.03/1099</t>
  </si>
  <si>
    <t>pc-9</t>
  </si>
  <si>
    <t>pc-10</t>
  </si>
  <si>
    <t>SBE Calibration date:</t>
  </si>
  <si>
    <t>from PS deployment regressions</t>
  </si>
  <si>
    <t>(8x) 5-40 x 3/8 SHCS +#5 LW, head to cylinder</t>
  </si>
  <si>
    <t>Boc =</t>
  </si>
  <si>
    <t>Tcor =</t>
  </si>
  <si>
    <t>Pcor =</t>
  </si>
  <si>
    <t>rev A - short shaft</t>
  </si>
  <si>
    <t>.</t>
  </si>
  <si>
    <t>O2 Sensor Assy. (Aanderaa optode, mount base, SS hose clamp, (2x) 8-32 x 5/8 FHMS, (2x) 8-32 nylok)</t>
  </si>
  <si>
    <t>O2 Sensor Assy. (O2 sensor, Plenum, (2x) 6-32 x 5/8 SHCS - plenum to sensor, O2 bracket, (2x) 8-32 x 5/8 FHMS - bracket to aft fairing, (2x) SS hose clamp)</t>
  </si>
  <si>
    <t>Assy., WET Labs Optical - forward hole</t>
  </si>
  <si>
    <t>Cover, WL sensor used in shipping</t>
  </si>
  <si>
    <t>Assy., WET Labs Optical - aft hole</t>
  </si>
  <si>
    <t>Assy., Lead Ballast</t>
  </si>
  <si>
    <t>Trim Lead .600" aft of pupa joint ring - bottom (5" strip)</t>
  </si>
  <si>
    <t>Trim Lead .600" aft of pupa joint ring - port side (5" strip)</t>
  </si>
  <si>
    <t>Trim Lead .600" aft of pupa joint ring - starboard side (5" strip)</t>
  </si>
  <si>
    <t>Trim Lead .600" aft of pupa joint ring - top (5" strip)</t>
  </si>
  <si>
    <t>EPDM base (5"x31")</t>
  </si>
  <si>
    <t>not in BOM</t>
  </si>
  <si>
    <t>(2) Straps - cut to length (start at 34g, subtract trimmed)</t>
  </si>
  <si>
    <t>Trim Lead 1.000" fwd of bulkhead - bottom (5" strip)</t>
  </si>
  <si>
    <t>EPDM base (5"x3")</t>
  </si>
  <si>
    <t>Strap - cut to length (start at 17g, subtract trimmed)</t>
  </si>
  <si>
    <t>Antenna Assembly GPSI (All parts)</t>
  </si>
  <si>
    <t>EPDM sheet density</t>
  </si>
  <si>
    <t>Nylon density</t>
  </si>
  <si>
    <t>port/top</t>
  </si>
  <si>
    <t>middle</t>
  </si>
  <si>
    <t>stbrd/bottom</t>
  </si>
  <si>
    <t>Initial psi:</t>
  </si>
  <si>
    <t>End psi:</t>
  </si>
  <si>
    <t>C163</t>
  </si>
  <si>
    <t>52290-042</t>
  </si>
  <si>
    <t>2220</t>
  </si>
  <si>
    <t>11H00356</t>
  </si>
  <si>
    <t>072</t>
  </si>
  <si>
    <t>17958A731</t>
  </si>
  <si>
    <t>039</t>
  </si>
  <si>
    <t>879</t>
  </si>
  <si>
    <t>9/2</t>
  </si>
  <si>
    <t>300224010122090</t>
  </si>
  <si>
    <t>UH</t>
  </si>
  <si>
    <t xml:space="preserve">SeaBird </t>
  </si>
  <si>
    <t xml:space="preserve">43f </t>
  </si>
  <si>
    <t>Aanderaa</t>
  </si>
  <si>
    <t>E=</t>
  </si>
  <si>
    <t>cal 21-Nov-07</t>
  </si>
  <si>
    <t>meas using SBE on SG</t>
  </si>
  <si>
    <t>8988169514000056825</t>
  </si>
  <si>
    <t>UH phone #</t>
  </si>
  <si>
    <t>after Port Susan, checked WL-BB2F connections (intermintent data) and found corrosion on IE-55 at end-cap - replaced</t>
  </si>
  <si>
    <t xml:space="preserve">Flew in Port Susan. </t>
  </si>
  <si>
    <t>from 11 Feb 08 Port Susan mission</t>
  </si>
  <si>
    <t>wt. from pre port susan + lead</t>
  </si>
  <si>
    <t>At Pupa Joint Ring</t>
  </si>
  <si>
    <t>At 1" fwd of Elec Hull Bolt Pattern</t>
  </si>
  <si>
    <t>Amp w/mass shifter assy.</t>
  </si>
  <si>
    <t>nose down, pitching fwd.</t>
  </si>
  <si>
    <t>nose down, pitching aft</t>
  </si>
  <si>
    <t>peak current (mA):</t>
  </si>
  <si>
    <t>avg time (sec):</t>
  </si>
  <si>
    <t>avg current (mA):</t>
  </si>
  <si>
    <t>Optode 5013</t>
  </si>
  <si>
    <t xml:space="preserve">Glider Refurbishment </t>
  </si>
  <si>
    <t>Glider returned to Seattle 1 april 09</t>
  </si>
  <si>
    <t>10V battery replaced (extended range pack)</t>
  </si>
  <si>
    <t>24V battery replaced (standard pack)</t>
  </si>
  <si>
    <t>Re-lubed ballscrew and rails with High Slip</t>
  </si>
  <si>
    <t>Re-lubed gears with Blue Moly</t>
  </si>
  <si>
    <t>Passed 100 cycle pitch test (see motor data tab)</t>
  </si>
  <si>
    <t>Glider un-boxed - glider in good condition</t>
  </si>
  <si>
    <t>Ran hardware check out - no signal from gliders SBE43f or Aanderaa optode, works ok with lab sensors</t>
  </si>
  <si>
    <t>Wetlabs sent for calibration</t>
  </si>
  <si>
    <t>SBE43f sent for calibration</t>
  </si>
  <si>
    <t>Aanderaa optode sent for calibration</t>
  </si>
  <si>
    <t>CT sensor removed and sent for calibration</t>
  </si>
  <si>
    <t>Purged excess air from VBD reservoir</t>
  </si>
  <si>
    <t>Re-set batt. Gauges</t>
  </si>
  <si>
    <t>Updated AAE firmware to 3.061</t>
  </si>
  <si>
    <t>Main board repaired to work on powered comms</t>
  </si>
  <si>
    <t>Repaired broken drain wire on pitch pot MTA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</si>
</sst>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 #,##0.00_-;_-* \-??_-;_-@_-"/>
    <numFmt numFmtId="173" formatCode="_(* #,##0.00_);_(* \(#,##0.00\);_(* \-??_);_(@_)"/>
    <numFmt numFmtId="174" formatCode="0.00;[Red]0.00"/>
    <numFmt numFmtId="175" formatCode="0.000000"/>
    <numFmt numFmtId="176" formatCode="0.00000"/>
    <numFmt numFmtId="177" formatCode="0.000000E+00"/>
    <numFmt numFmtId="178" formatCode="0.000"/>
    <numFmt numFmtId="179" formatCode="0.0"/>
    <numFmt numFmtId="180" formatCode="0000"/>
    <numFmt numFmtId="181" formatCode="0.00000000E+00"/>
    <numFmt numFmtId="182" formatCode="0.0000E+00"/>
    <numFmt numFmtId="183" formatCode="_(* #,##0_);_(* \(#,##0\);_(* \-??_);_(@_)"/>
    <numFmt numFmtId="184" formatCode="0.0E+00;\ठ"/>
    <numFmt numFmtId="185" formatCode="dd\-mmm\-yy"/>
    <numFmt numFmtId="186" formatCode="0.0000"/>
    <numFmt numFmtId="187" formatCode="0.0000000E+00"/>
    <numFmt numFmtId="188" formatCode="0.00E+000"/>
    <numFmt numFmtId="189" formatCode="[$-409]dddd\,\ mmmm\ dd\,\ yyyy"/>
    <numFmt numFmtId="190" formatCode="[$-409]d\-mmm\-yy;@"/>
    <numFmt numFmtId="191" formatCode="d\-mmm\-yy;@"/>
  </numFmts>
  <fonts count="46">
    <font>
      <sz val="10"/>
      <name val="Arial"/>
      <family val="0"/>
    </font>
    <font>
      <b/>
      <sz val="14"/>
      <name val="Arial"/>
      <family val="0"/>
    </font>
    <font>
      <b/>
      <sz val="14"/>
      <color indexed="10"/>
      <name val="Arial"/>
      <family val="0"/>
    </font>
    <font>
      <sz val="12"/>
      <name val="Arial"/>
      <family val="0"/>
    </font>
    <font>
      <b/>
      <sz val="12"/>
      <name val="Arial"/>
      <family val="0"/>
    </font>
    <font>
      <sz val="10"/>
      <color indexed="10"/>
      <name val="Arial"/>
      <family val="0"/>
    </font>
    <font>
      <sz val="10"/>
      <color indexed="53"/>
      <name val="Arial"/>
      <family val="0"/>
    </font>
    <font>
      <i/>
      <sz val="10"/>
      <name val="Arial"/>
      <family val="0"/>
    </font>
    <font>
      <b/>
      <sz val="10"/>
      <name val="Arial"/>
      <family val="0"/>
    </font>
    <font>
      <sz val="10"/>
      <name val="Verdana"/>
      <family val="2"/>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0"/>
    </font>
    <font>
      <sz val="12"/>
      <color indexed="10"/>
      <name val="Arial"/>
      <family val="0"/>
    </font>
    <font>
      <b/>
      <sz val="12"/>
      <color indexed="10"/>
      <name val="Arial"/>
      <family val="0"/>
    </font>
    <font>
      <b/>
      <i/>
      <sz val="12"/>
      <name val="Arial"/>
      <family val="0"/>
    </font>
    <font>
      <sz val="12"/>
      <color indexed="8"/>
      <name val="Arial"/>
      <family val="2"/>
    </font>
    <font>
      <sz val="12"/>
      <color indexed="25"/>
      <name val="Arial"/>
      <family val="0"/>
    </font>
    <font>
      <b/>
      <i/>
      <sz val="12"/>
      <color indexed="8"/>
      <name val="Arial"/>
      <family val="0"/>
    </font>
    <font>
      <i/>
      <sz val="12"/>
      <name val="Arial"/>
      <family val="0"/>
    </font>
    <font>
      <u val="single"/>
      <sz val="12"/>
      <name val="Arial"/>
      <family val="0"/>
    </font>
    <font>
      <u val="single"/>
      <sz val="12"/>
      <color indexed="8"/>
      <name val="Arial"/>
      <family val="0"/>
    </font>
    <font>
      <sz val="14"/>
      <color indexed="8"/>
      <name val="Arial"/>
      <family val="2"/>
    </font>
    <font>
      <b/>
      <sz val="9"/>
      <color indexed="8"/>
      <name val="Geneva"/>
      <family val="0"/>
    </font>
    <font>
      <sz val="9"/>
      <color indexed="8"/>
      <name val="Geneva"/>
      <family val="0"/>
    </font>
    <font>
      <b/>
      <sz val="12"/>
      <color indexed="25"/>
      <name val="Arial"/>
      <family val="0"/>
    </font>
    <font>
      <b/>
      <sz val="12"/>
      <color indexed="8"/>
      <name val="Arial"/>
      <family val="2"/>
    </font>
    <font>
      <b/>
      <sz val="12"/>
      <color indexed="11"/>
      <name val="Arial"/>
      <family val="0"/>
    </font>
    <font>
      <sz val="12"/>
      <color indexed="11"/>
      <name val="Arial"/>
      <family val="0"/>
    </font>
    <font>
      <sz val="12"/>
      <color indexed="12"/>
      <name val="Arial"/>
      <family val="0"/>
    </font>
    <font>
      <sz val="14"/>
      <name val="Arial"/>
      <family val="2"/>
    </font>
    <font>
      <sz val="14"/>
      <color indexed="10"/>
      <name val="Arial"/>
      <family val="2"/>
    </font>
    <font>
      <b/>
      <sz val="16"/>
      <name val="Arial"/>
      <family val="2"/>
    </font>
    <font>
      <b/>
      <sz val="12"/>
      <color indexed="14"/>
      <name val="Arial"/>
      <family val="2"/>
    </font>
    <font>
      <b/>
      <i/>
      <sz val="10"/>
      <name val="Arial"/>
      <family val="2"/>
    </font>
    <font>
      <sz val="10"/>
      <color indexed="12"/>
      <name val="Arial"/>
      <family val="0"/>
    </font>
    <font>
      <b/>
      <sz val="10"/>
      <color indexed="10"/>
      <name val="Arial"/>
      <family val="0"/>
    </font>
    <font>
      <b/>
      <u val="single"/>
      <sz val="12"/>
      <name val="Arial"/>
      <family val="2"/>
    </font>
    <font>
      <b/>
      <sz val="8"/>
      <name val="Tahoma"/>
      <family val="0"/>
    </font>
    <font>
      <sz val="8"/>
      <name val="Tahoma"/>
      <family val="0"/>
    </font>
    <font>
      <sz val="8"/>
      <name val="Arial"/>
      <family val="0"/>
    </font>
    <font>
      <b/>
      <u val="single"/>
      <sz val="10"/>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color indexed="63"/>
      </left>
      <right>
        <color indexed="63"/>
      </right>
      <top>
        <color indexed="63"/>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hair">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color indexed="63"/>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color indexed="63"/>
      </top>
      <bottom style="double"/>
    </border>
    <border>
      <left style="thin">
        <color indexed="8"/>
      </left>
      <right>
        <color indexed="63"/>
      </right>
      <top>
        <color indexed="63"/>
      </top>
      <bottom style="double"/>
    </border>
    <border>
      <left style="thin">
        <color indexed="8"/>
      </left>
      <right style="thin">
        <color indexed="8"/>
      </right>
      <top style="thin">
        <color indexed="8"/>
      </top>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75">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0" fillId="0" borderId="1" xfId="0" applyBorder="1" applyAlignment="1">
      <alignment horizontal="center"/>
    </xf>
    <xf numFmtId="49" fontId="1" fillId="0" borderId="1" xfId="15" applyNumberFormat="1" applyFont="1" applyFill="1" applyBorder="1" applyAlignment="1" applyProtection="1">
      <alignment horizontal="right"/>
      <protection/>
    </xf>
    <xf numFmtId="0" fontId="2" fillId="0" borderId="1" xfId="15" applyNumberFormat="1" applyFont="1" applyFill="1" applyBorder="1" applyAlignment="1" applyProtection="1">
      <alignment horizontal="center"/>
      <protection/>
    </xf>
    <xf numFmtId="0" fontId="3" fillId="0" borderId="0" xfId="0" applyFont="1" applyAlignment="1">
      <alignment horizontal="right"/>
    </xf>
    <xf numFmtId="15" fontId="4" fillId="0" borderId="0" xfId="0" applyNumberFormat="1" applyFont="1" applyAlignment="1">
      <alignment horizontal="left"/>
    </xf>
    <xf numFmtId="0" fontId="3" fillId="0" borderId="0" xfId="0" applyFont="1" applyAlignment="1">
      <alignment/>
    </xf>
    <xf numFmtId="20" fontId="4" fillId="0" borderId="0" xfId="0" applyNumberFormat="1" applyFont="1" applyAlignment="1">
      <alignment horizontal="left"/>
    </xf>
    <xf numFmtId="0" fontId="3" fillId="0" borderId="0" xfId="0" applyFont="1" applyAlignment="1">
      <alignment horizontal="center"/>
    </xf>
    <xf numFmtId="0" fontId="0" fillId="0" borderId="0" xfId="0" applyFont="1" applyAlignment="1">
      <alignment horizontal="right"/>
    </xf>
    <xf numFmtId="0" fontId="5" fillId="0" borderId="0" xfId="0" applyFont="1" applyAlignment="1">
      <alignment horizontal="left"/>
    </xf>
    <xf numFmtId="0" fontId="0" fillId="0" borderId="0" xfId="0" applyAlignment="1">
      <alignment horizontal="left"/>
    </xf>
    <xf numFmtId="0" fontId="1" fillId="0" borderId="2" xfId="0" applyFont="1" applyBorder="1" applyAlignment="1">
      <alignment/>
    </xf>
    <xf numFmtId="0" fontId="0" fillId="0" borderId="3" xfId="0" applyBorder="1" applyAlignment="1">
      <alignment horizontal="center"/>
    </xf>
    <xf numFmtId="0" fontId="0" fillId="0" borderId="3" xfId="0" applyFont="1" applyBorder="1" applyAlignment="1">
      <alignment horizontal="right"/>
    </xf>
    <xf numFmtId="14" fontId="5" fillId="0" borderId="4" xfId="0" applyNumberFormat="1" applyFont="1" applyBorder="1" applyAlignment="1">
      <alignment horizontal="center"/>
    </xf>
    <xf numFmtId="0" fontId="0" fillId="0" borderId="0" xfId="0" applyBorder="1" applyAlignment="1">
      <alignment/>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0" fontId="5" fillId="0" borderId="5" xfId="0" applyFont="1" applyBorder="1" applyAlignment="1">
      <alignment horizontal="center"/>
    </xf>
    <xf numFmtId="1" fontId="0" fillId="0" borderId="5" xfId="0" applyNumberFormat="1" applyBorder="1" applyAlignment="1">
      <alignment horizontal="center"/>
    </xf>
    <xf numFmtId="2" fontId="0" fillId="0" borderId="5" xfId="0" applyNumberFormat="1" applyBorder="1" applyAlignment="1">
      <alignment horizontal="center"/>
    </xf>
    <xf numFmtId="0" fontId="0" fillId="0" borderId="5" xfId="0" applyBorder="1" applyAlignment="1">
      <alignment horizontal="center"/>
    </xf>
    <xf numFmtId="0" fontId="0" fillId="0" borderId="0" xfId="0" applyFont="1" applyBorder="1" applyAlignment="1">
      <alignment horizontal="center"/>
    </xf>
    <xf numFmtId="1" fontId="0" fillId="2"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74" fontId="5" fillId="0" borderId="0" xfId="0" applyNumberFormat="1" applyFont="1" applyAlignment="1">
      <alignment horizontal="center"/>
    </xf>
    <xf numFmtId="1" fontId="0" fillId="0" borderId="0" xfId="0" applyNumberFormat="1" applyFont="1" applyAlignment="1">
      <alignment horizontal="center"/>
    </xf>
    <xf numFmtId="0" fontId="5" fillId="2" borderId="0" xfId="0" applyFont="1" applyFill="1" applyBorder="1" applyAlignment="1">
      <alignment horizontal="center"/>
    </xf>
    <xf numFmtId="0" fontId="5" fillId="0" borderId="0" xfId="0" applyFont="1" applyBorder="1" applyAlignment="1">
      <alignment horizontal="center"/>
    </xf>
    <xf numFmtId="0" fontId="5" fillId="2" borderId="0" xfId="0" applyFont="1" applyFill="1" applyBorder="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1" fontId="0" fillId="0" borderId="5" xfId="0" applyNumberFormat="1" applyFont="1" applyBorder="1" applyAlignment="1">
      <alignment horizontal="center"/>
    </xf>
    <xf numFmtId="1" fontId="0" fillId="0" borderId="0" xfId="0" applyNumberFormat="1" applyAlignment="1">
      <alignment/>
    </xf>
    <xf numFmtId="0" fontId="0" fillId="0" borderId="5" xfId="0" applyBorder="1" applyAlignment="1">
      <alignment/>
    </xf>
    <xf numFmtId="1" fontId="0" fillId="2" borderId="0" xfId="0" applyNumberFormat="1" applyFont="1" applyFill="1" applyBorder="1" applyAlignment="1">
      <alignment horizontal="center"/>
    </xf>
    <xf numFmtId="1" fontId="0" fillId="0" borderId="0" xfId="0" applyNumberFormat="1" applyFont="1" applyFill="1" applyBorder="1" applyAlignment="1">
      <alignment horizontal="center"/>
    </xf>
    <xf numFmtId="175" fontId="0" fillId="0" borderId="0" xfId="0" applyNumberFormat="1" applyFont="1" applyAlignment="1">
      <alignment horizontal="center"/>
    </xf>
    <xf numFmtId="176" fontId="0" fillId="0" borderId="0" xfId="0" applyNumberFormat="1" applyAlignment="1">
      <alignment horizontal="center"/>
    </xf>
    <xf numFmtId="14" fontId="0" fillId="0" borderId="4" xfId="0" applyNumberFormat="1" applyFont="1" applyBorder="1" applyAlignment="1">
      <alignment horizontal="center"/>
    </xf>
    <xf numFmtId="0" fontId="6" fillId="0" borderId="0" xfId="0" applyFont="1" applyAlignment="1">
      <alignment/>
    </xf>
    <xf numFmtId="175" fontId="0" fillId="0" borderId="5" xfId="0" applyNumberFormat="1" applyFont="1" applyBorder="1" applyAlignment="1">
      <alignment horizontal="center"/>
    </xf>
    <xf numFmtId="0" fontId="0" fillId="0" borderId="0" xfId="0" applyFont="1" applyAlignment="1">
      <alignment horizontal="right"/>
    </xf>
    <xf numFmtId="1" fontId="0" fillId="0" borderId="5" xfId="0" applyNumberFormat="1" applyFont="1" applyBorder="1" applyAlignment="1">
      <alignment horizontal="center"/>
    </xf>
    <xf numFmtId="0" fontId="7" fillId="0" borderId="0" xfId="0" applyFont="1" applyBorder="1" applyAlignment="1">
      <alignment horizontal="left"/>
    </xf>
    <xf numFmtId="0" fontId="7" fillId="0" borderId="0" xfId="0" applyFont="1" applyAlignment="1">
      <alignment horizontal="right"/>
    </xf>
    <xf numFmtId="0" fontId="0" fillId="0" borderId="0" xfId="0" applyFont="1" applyBorder="1" applyAlignment="1">
      <alignment horizontal="left"/>
    </xf>
    <xf numFmtId="177" fontId="0" fillId="0" borderId="5" xfId="0" applyNumberFormat="1" applyFont="1" applyBorder="1" applyAlignment="1">
      <alignment horizontal="center"/>
    </xf>
    <xf numFmtId="0" fontId="7" fillId="0" borderId="0" xfId="0" applyFont="1" applyAlignment="1">
      <alignment/>
    </xf>
    <xf numFmtId="0" fontId="7" fillId="0" borderId="0" xfId="0" applyFont="1" applyAlignment="1">
      <alignment horizontal="left"/>
    </xf>
    <xf numFmtId="177" fontId="0" fillId="0" borderId="0" xfId="0" applyNumberFormat="1" applyFont="1" applyBorder="1" applyAlignment="1">
      <alignment horizontal="center"/>
    </xf>
    <xf numFmtId="0" fontId="7" fillId="0" borderId="0" xfId="0" applyFont="1" applyBorder="1" applyAlignment="1">
      <alignment horizontal="right"/>
    </xf>
    <xf numFmtId="178" fontId="7" fillId="0" borderId="0" xfId="0" applyNumberFormat="1" applyFont="1" applyBorder="1" applyAlignment="1">
      <alignment horizontal="center"/>
    </xf>
    <xf numFmtId="0" fontId="5" fillId="0" borderId="3" xfId="0" applyFont="1" applyBorder="1" applyAlignment="1">
      <alignment horizontal="center"/>
    </xf>
    <xf numFmtId="0" fontId="7" fillId="0" borderId="0" xfId="0" applyFont="1" applyBorder="1" applyAlignment="1">
      <alignment/>
    </xf>
    <xf numFmtId="0" fontId="5" fillId="0" borderId="0" xfId="0" applyFont="1" applyAlignment="1">
      <alignment horizontal="center"/>
    </xf>
    <xf numFmtId="0" fontId="0" fillId="0" borderId="0" xfId="0" applyFont="1" applyFill="1" applyAlignment="1">
      <alignment horizontal="right"/>
    </xf>
    <xf numFmtId="14" fontId="5" fillId="0" borderId="0" xfId="0" applyNumberFormat="1"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Border="1" applyAlignment="1">
      <alignment horizontal="right"/>
    </xf>
    <xf numFmtId="49" fontId="5" fillId="0" borderId="0" xfId="0" applyNumberFormat="1" applyFont="1" applyAlignment="1">
      <alignment horizontal="center"/>
    </xf>
    <xf numFmtId="49" fontId="5" fillId="0" borderId="0" xfId="0" applyNumberFormat="1" applyFont="1" applyFill="1" applyAlignment="1">
      <alignment horizontal="center"/>
    </xf>
    <xf numFmtId="1" fontId="5" fillId="0" borderId="0" xfId="0" applyNumberFormat="1" applyFont="1" applyFill="1" applyAlignment="1">
      <alignment horizontal="center"/>
    </xf>
    <xf numFmtId="1" fontId="0" fillId="0" borderId="0" xfId="0" applyNumberFormat="1" applyAlignment="1">
      <alignment horizontal="center"/>
    </xf>
    <xf numFmtId="0" fontId="5" fillId="0" borderId="0" xfId="0" applyFont="1" applyBorder="1" applyAlignment="1">
      <alignment horizontal="center"/>
    </xf>
    <xf numFmtId="0" fontId="9" fillId="0" borderId="0" xfId="0" applyFont="1" applyBorder="1" applyAlignment="1">
      <alignment horizontal="center"/>
    </xf>
    <xf numFmtId="49" fontId="5" fillId="0" borderId="0" xfId="0" applyNumberFormat="1" applyFont="1" applyFill="1" applyBorder="1" applyAlignment="1">
      <alignment horizontal="center"/>
    </xf>
    <xf numFmtId="179" fontId="5" fillId="0" borderId="0" xfId="0" applyNumberFormat="1" applyFont="1" applyFill="1" applyAlignment="1">
      <alignment horizontal="center"/>
    </xf>
    <xf numFmtId="49" fontId="5" fillId="0" borderId="0" xfId="0" applyNumberFormat="1" applyFont="1" applyFill="1" applyAlignment="1">
      <alignment horizontal="center"/>
    </xf>
    <xf numFmtId="179" fontId="5" fillId="0" borderId="0" xfId="0" applyNumberFormat="1" applyFont="1" applyAlignment="1">
      <alignment horizontal="center"/>
    </xf>
    <xf numFmtId="0" fontId="0" fillId="0" borderId="6" xfId="0" applyBorder="1" applyAlignment="1">
      <alignment horizontal="right"/>
    </xf>
    <xf numFmtId="49" fontId="5" fillId="0" borderId="0" xfId="0" applyNumberFormat="1" applyFont="1" applyBorder="1" applyAlignment="1">
      <alignment horizontal="center"/>
    </xf>
    <xf numFmtId="180" fontId="5" fillId="0" borderId="0" xfId="0" applyNumberFormat="1" applyFont="1" applyBorder="1" applyAlignment="1">
      <alignment horizontal="center"/>
    </xf>
    <xf numFmtId="0" fontId="10" fillId="0" borderId="5" xfId="0" applyFont="1" applyBorder="1" applyAlignment="1">
      <alignment horizontal="right"/>
    </xf>
    <xf numFmtId="181" fontId="5" fillId="0" borderId="5" xfId="0" applyNumberFormat="1" applyFont="1" applyBorder="1" applyAlignment="1">
      <alignment horizontal="center"/>
    </xf>
    <xf numFmtId="0" fontId="0" fillId="0" borderId="5" xfId="0" applyFont="1" applyBorder="1" applyAlignment="1">
      <alignment horizontal="right"/>
    </xf>
    <xf numFmtId="181" fontId="5" fillId="0" borderId="7" xfId="0" applyNumberFormat="1" applyFont="1" applyBorder="1" applyAlignment="1">
      <alignment horizontal="center"/>
    </xf>
    <xf numFmtId="179" fontId="5" fillId="0" borderId="5" xfId="0" applyNumberFormat="1" applyFont="1" applyBorder="1" applyAlignment="1">
      <alignment horizontal="center"/>
    </xf>
    <xf numFmtId="181" fontId="10" fillId="0" borderId="5" xfId="0" applyNumberFormat="1" applyFont="1" applyBorder="1" applyAlignment="1">
      <alignment horizontal="center"/>
    </xf>
    <xf numFmtId="14" fontId="0" fillId="0" borderId="0" xfId="0" applyNumberFormat="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xf>
    <xf numFmtId="0" fontId="0" fillId="0" borderId="8" xfId="0" applyFont="1" applyFill="1" applyBorder="1" applyAlignment="1">
      <alignment horizontal="right"/>
    </xf>
    <xf numFmtId="182" fontId="5" fillId="0" borderId="9" xfId="0" applyNumberFormat="1" applyFont="1" applyBorder="1" applyAlignment="1">
      <alignment horizontal="center"/>
    </xf>
    <xf numFmtId="0" fontId="11" fillId="0" borderId="0" xfId="0" applyFont="1" applyAlignment="1">
      <alignment horizontal="left"/>
    </xf>
    <xf numFmtId="15" fontId="4" fillId="0" borderId="0" xfId="0" applyNumberFormat="1" applyFont="1" applyAlignment="1">
      <alignment horizontal="center"/>
    </xf>
    <xf numFmtId="0" fontId="1" fillId="0" borderId="0" xfId="0" applyFont="1" applyAlignment="1">
      <alignment horizontal="center"/>
    </xf>
    <xf numFmtId="0" fontId="11" fillId="0" borderId="0" xfId="0" applyFont="1" applyAlignment="1">
      <alignment horizontal="right"/>
    </xf>
    <xf numFmtId="0" fontId="11" fillId="0" borderId="0" xfId="0" applyNumberFormat="1" applyFont="1" applyAlignment="1">
      <alignment horizontal="left"/>
    </xf>
    <xf numFmtId="0" fontId="1" fillId="0" borderId="0" xfId="0" applyFont="1" applyAlignment="1">
      <alignment/>
    </xf>
    <xf numFmtId="14" fontId="12" fillId="0" borderId="0" xfId="0" applyNumberFormat="1" applyFont="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5" fillId="0" borderId="0" xfId="0" applyFont="1" applyAlignment="1">
      <alignment horizontal="left"/>
    </xf>
    <xf numFmtId="0" fontId="15" fillId="0" borderId="0" xfId="0" applyFont="1" applyBorder="1" applyAlignment="1">
      <alignment horizontal="center"/>
    </xf>
    <xf numFmtId="0" fontId="3" fillId="0" borderId="0" xfId="0" applyFont="1" applyAlignment="1">
      <alignment horizontal="center"/>
    </xf>
    <xf numFmtId="0" fontId="3" fillId="0" borderId="0" xfId="0" applyFont="1" applyAlignment="1">
      <alignment/>
    </xf>
    <xf numFmtId="1" fontId="3" fillId="0" borderId="0" xfId="0" applyNumberFormat="1"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6" fillId="0" borderId="0" xfId="0" applyFont="1" applyBorder="1" applyAlignment="1">
      <alignment/>
    </xf>
    <xf numFmtId="0" fontId="4" fillId="0" borderId="0" xfId="0" applyFont="1" applyAlignment="1">
      <alignment horizontal="center"/>
    </xf>
    <xf numFmtId="0" fontId="17" fillId="0" borderId="0" xfId="0" applyFont="1" applyAlignment="1">
      <alignment horizontal="left"/>
    </xf>
    <xf numFmtId="0" fontId="3" fillId="0" borderId="0" xfId="0" applyFont="1" applyFill="1" applyAlignment="1">
      <alignment horizontal="center"/>
    </xf>
    <xf numFmtId="0" fontId="18" fillId="0" borderId="0" xfId="0" applyFont="1" applyAlignment="1">
      <alignment horizontal="center"/>
    </xf>
    <xf numFmtId="0" fontId="3" fillId="0" borderId="0" xfId="0" applyFont="1" applyFill="1" applyAlignment="1">
      <alignment/>
    </xf>
    <xf numFmtId="0" fontId="16" fillId="0" borderId="0" xfId="0" applyFont="1" applyFill="1" applyAlignment="1">
      <alignment horizontal="left"/>
    </xf>
    <xf numFmtId="0" fontId="16"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lignment horizontal="center"/>
    </xf>
    <xf numFmtId="0" fontId="3" fillId="0" borderId="0" xfId="0" applyFont="1" applyAlignment="1">
      <alignment horizontal="left"/>
    </xf>
    <xf numFmtId="0" fontId="16" fillId="0" borderId="0" xfId="0" applyFont="1" applyAlignment="1">
      <alignment horizontal="center"/>
    </xf>
    <xf numFmtId="1" fontId="3" fillId="0" borderId="0" xfId="0" applyNumberFormat="1" applyFont="1" applyBorder="1" applyAlignment="1">
      <alignment horizontal="center"/>
    </xf>
    <xf numFmtId="1" fontId="3" fillId="0" borderId="0" xfId="0" applyNumberFormat="1" applyFont="1" applyAlignment="1">
      <alignment horizontal="right"/>
    </xf>
    <xf numFmtId="0" fontId="16" fillId="2" borderId="0" xfId="0" applyFont="1" applyFill="1" applyAlignment="1">
      <alignment horizontal="center"/>
    </xf>
    <xf numFmtId="0" fontId="16" fillId="0" borderId="0" xfId="0" applyFont="1" applyAlignment="1">
      <alignment horizontal="left"/>
    </xf>
    <xf numFmtId="179" fontId="3" fillId="0" borderId="0" xfId="0" applyNumberFormat="1" applyFont="1" applyBorder="1" applyAlignment="1">
      <alignment horizontal="center"/>
    </xf>
    <xf numFmtId="1" fontId="3" fillId="0" borderId="0" xfId="0" applyNumberFormat="1" applyFont="1" applyAlignment="1">
      <alignment/>
    </xf>
    <xf numFmtId="0" fontId="3" fillId="0" borderId="0" xfId="0" applyFont="1" applyBorder="1" applyAlignment="1">
      <alignment horizontal="right"/>
    </xf>
    <xf numFmtId="179" fontId="19" fillId="0" borderId="0" xfId="0" applyNumberFormat="1" applyFont="1" applyFill="1" applyBorder="1" applyAlignment="1">
      <alignment horizontal="center"/>
    </xf>
    <xf numFmtId="0" fontId="20" fillId="0" borderId="0" xfId="0" applyFont="1" applyAlignment="1">
      <alignment horizontal="right"/>
    </xf>
    <xf numFmtId="0" fontId="16" fillId="0" borderId="0" xfId="0" applyFont="1" applyBorder="1" applyAlignment="1">
      <alignment horizontal="center"/>
    </xf>
    <xf numFmtId="0" fontId="20" fillId="0" borderId="0" xfId="0" applyFont="1" applyAlignment="1">
      <alignment horizontal="left"/>
    </xf>
    <xf numFmtId="0" fontId="4" fillId="0" borderId="0" xfId="0" applyFont="1" applyAlignment="1">
      <alignment horizontal="left"/>
    </xf>
    <xf numFmtId="1" fontId="15" fillId="0" borderId="0" xfId="0" applyNumberFormat="1" applyFont="1" applyAlignment="1">
      <alignment horizontal="center"/>
    </xf>
    <xf numFmtId="179" fontId="3" fillId="0" borderId="0" xfId="0" applyNumberFormat="1" applyFont="1" applyAlignment="1">
      <alignment horizontal="center"/>
    </xf>
    <xf numFmtId="0" fontId="16" fillId="0" borderId="0" xfId="0" applyFont="1" applyBorder="1" applyAlignment="1">
      <alignment horizontal="left"/>
    </xf>
    <xf numFmtId="1" fontId="3" fillId="0" borderId="0" xfId="0" applyNumberFormat="1" applyFont="1" applyFill="1" applyAlignment="1">
      <alignment horizontal="center"/>
    </xf>
    <xf numFmtId="1" fontId="3" fillId="0" borderId="0" xfId="0" applyNumberFormat="1" applyFont="1" applyAlignment="1">
      <alignment horizontal="left"/>
    </xf>
    <xf numFmtId="0" fontId="3" fillId="0" borderId="0" xfId="0" applyFont="1" applyFill="1" applyAlignment="1">
      <alignment horizontal="right"/>
    </xf>
    <xf numFmtId="176" fontId="16" fillId="2" borderId="0" xfId="0" applyNumberFormat="1" applyFont="1" applyFill="1" applyAlignment="1">
      <alignment horizontal="center"/>
    </xf>
    <xf numFmtId="0" fontId="3" fillId="0" borderId="0" xfId="0" applyFont="1" applyBorder="1" applyAlignment="1">
      <alignment horizontal="left"/>
    </xf>
    <xf numFmtId="0" fontId="19" fillId="0" borderId="0" xfId="0" applyFont="1" applyBorder="1" applyAlignment="1">
      <alignment horizontal="right"/>
    </xf>
    <xf numFmtId="10" fontId="16" fillId="2" borderId="0" xfId="20" applyNumberFormat="1" applyFont="1" applyFill="1" applyBorder="1" applyAlignment="1" applyProtection="1">
      <alignment horizontal="center"/>
      <protection/>
    </xf>
    <xf numFmtId="183" fontId="19" fillId="3" borderId="0" xfId="15" applyNumberFormat="1" applyFont="1" applyFill="1" applyBorder="1" applyAlignment="1" applyProtection="1">
      <alignment horizontal="center"/>
      <protection/>
    </xf>
    <xf numFmtId="0" fontId="19" fillId="0" borderId="0" xfId="0" applyFont="1" applyBorder="1" applyAlignment="1">
      <alignment horizontal="left"/>
    </xf>
    <xf numFmtId="0" fontId="19" fillId="0" borderId="0" xfId="0" applyFont="1" applyBorder="1" applyAlignment="1">
      <alignment/>
    </xf>
    <xf numFmtId="179" fontId="19" fillId="0" borderId="0" xfId="0" applyNumberFormat="1" applyFont="1" applyBorder="1" applyAlignment="1">
      <alignment horizontal="right"/>
    </xf>
    <xf numFmtId="179" fontId="19" fillId="0" borderId="0" xfId="0" applyNumberFormat="1" applyFont="1" applyBorder="1" applyAlignment="1">
      <alignment horizontal="center"/>
    </xf>
    <xf numFmtId="0" fontId="19" fillId="0" borderId="0" xfId="0" applyFont="1" applyBorder="1" applyAlignment="1">
      <alignment horizontal="center"/>
    </xf>
    <xf numFmtId="9" fontId="16" fillId="0" borderId="0" xfId="20" applyFont="1" applyFill="1" applyBorder="1" applyAlignment="1" applyProtection="1">
      <alignment horizontal="center"/>
      <protection/>
    </xf>
    <xf numFmtId="0" fontId="0" fillId="0" borderId="0" xfId="0" applyFont="1" applyAlignment="1">
      <alignment horizontal="center"/>
    </xf>
    <xf numFmtId="0" fontId="0" fillId="0" borderId="0" xfId="0" applyFont="1" applyAlignment="1">
      <alignment horizontal="left"/>
    </xf>
    <xf numFmtId="0" fontId="21" fillId="0" borderId="0" xfId="0" applyFont="1" applyBorder="1" applyAlignment="1">
      <alignment horizontal="center"/>
    </xf>
    <xf numFmtId="178" fontId="19" fillId="0" borderId="0" xfId="0" applyNumberFormat="1" applyFont="1" applyAlignment="1">
      <alignment horizontal="right"/>
    </xf>
    <xf numFmtId="3" fontId="19" fillId="0" borderId="0" xfId="0" applyNumberFormat="1" applyFont="1" applyFill="1" applyBorder="1" applyAlignment="1">
      <alignment horizontal="right"/>
    </xf>
    <xf numFmtId="178" fontId="3" fillId="0" borderId="0" xfId="0" applyNumberFormat="1" applyFont="1" applyAlignment="1">
      <alignment horizontal="center"/>
    </xf>
    <xf numFmtId="178" fontId="22" fillId="0" borderId="0" xfId="0" applyNumberFormat="1" applyFont="1" applyAlignment="1">
      <alignment/>
    </xf>
    <xf numFmtId="178" fontId="3" fillId="0" borderId="0" xfId="0" applyNumberFormat="1" applyFont="1" applyAlignment="1">
      <alignment horizontal="center" vertical="center"/>
    </xf>
    <xf numFmtId="184" fontId="3" fillId="0" borderId="0" xfId="0" applyNumberFormat="1" applyFont="1" applyAlignment="1">
      <alignment horizontal="left"/>
    </xf>
    <xf numFmtId="183" fontId="3" fillId="0" borderId="0" xfId="0" applyNumberFormat="1" applyFont="1" applyBorder="1" applyAlignment="1">
      <alignment/>
    </xf>
    <xf numFmtId="173" fontId="3" fillId="0" borderId="0" xfId="0" applyNumberFormat="1" applyFont="1" applyAlignment="1">
      <alignment/>
    </xf>
    <xf numFmtId="178" fontId="19" fillId="0" borderId="0" xfId="0" applyNumberFormat="1" applyFont="1" applyBorder="1" applyAlignment="1">
      <alignment horizontal="center"/>
    </xf>
    <xf numFmtId="179" fontId="3" fillId="4" borderId="0" xfId="0" applyNumberFormat="1" applyFont="1" applyFill="1" applyBorder="1" applyAlignment="1">
      <alignment horizontal="center"/>
    </xf>
    <xf numFmtId="183" fontId="19" fillId="0" borderId="0" xfId="15" applyNumberFormat="1" applyFont="1" applyFill="1" applyBorder="1" applyAlignment="1" applyProtection="1">
      <alignment horizontal="center"/>
      <protection/>
    </xf>
    <xf numFmtId="2" fontId="3" fillId="0" borderId="0" xfId="0" applyNumberFormat="1" applyFont="1" applyBorder="1" applyAlignment="1">
      <alignment horizontal="center"/>
    </xf>
    <xf numFmtId="14" fontId="19" fillId="0" borderId="0" xfId="0" applyNumberFormat="1" applyFont="1" applyBorder="1" applyAlignment="1">
      <alignment horizontal="right"/>
    </xf>
    <xf numFmtId="0" fontId="19" fillId="0" borderId="0" xfId="0" applyFont="1" applyAlignment="1">
      <alignment horizontal="center"/>
    </xf>
    <xf numFmtId="0" fontId="19" fillId="0" borderId="0" xfId="0" applyFont="1" applyAlignment="1">
      <alignment/>
    </xf>
    <xf numFmtId="1" fontId="3" fillId="0" borderId="0" xfId="0" applyNumberFormat="1" applyFont="1" applyBorder="1" applyAlignment="1">
      <alignment/>
    </xf>
    <xf numFmtId="0" fontId="23" fillId="0" borderId="0" xfId="0" applyFont="1" applyBorder="1" applyAlignment="1">
      <alignment horizontal="center"/>
    </xf>
    <xf numFmtId="0" fontId="24" fillId="0" borderId="0" xfId="0" applyFont="1" applyBorder="1" applyAlignment="1">
      <alignment horizontal="center"/>
    </xf>
    <xf numFmtId="1" fontId="19" fillId="0" borderId="0" xfId="0" applyNumberFormat="1" applyFont="1" applyBorder="1" applyAlignment="1">
      <alignment horizontal="center"/>
    </xf>
    <xf numFmtId="0" fontId="15" fillId="0" borderId="0" xfId="0" applyFont="1" applyBorder="1" applyAlignment="1">
      <alignment horizontal="left"/>
    </xf>
    <xf numFmtId="2" fontId="19" fillId="0" borderId="0" xfId="0" applyNumberFormat="1"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xf>
    <xf numFmtId="0" fontId="3" fillId="0" borderId="1" xfId="0" applyFont="1" applyBorder="1" applyAlignment="1">
      <alignment/>
    </xf>
    <xf numFmtId="0" fontId="3" fillId="0" borderId="1" xfId="0" applyFont="1" applyBorder="1" applyAlignment="1">
      <alignment horizontal="right"/>
    </xf>
    <xf numFmtId="2" fontId="15" fillId="0" borderId="1" xfId="0" applyNumberFormat="1" applyFont="1" applyBorder="1" applyAlignment="1">
      <alignment horizontal="center"/>
    </xf>
    <xf numFmtId="0" fontId="15" fillId="0" borderId="1" xfId="0" applyFont="1" applyBorder="1" applyAlignment="1">
      <alignment horizontal="left"/>
    </xf>
    <xf numFmtId="0" fontId="3" fillId="0" borderId="1" xfId="0" applyFont="1" applyBorder="1" applyAlignment="1">
      <alignment horizontal="center"/>
    </xf>
    <xf numFmtId="179" fontId="19" fillId="0" borderId="1" xfId="0" applyNumberFormat="1" applyFont="1" applyBorder="1" applyAlignment="1">
      <alignment horizontal="center"/>
    </xf>
    <xf numFmtId="2" fontId="19" fillId="0" borderId="1" xfId="0" applyNumberFormat="1" applyFont="1" applyBorder="1" applyAlignment="1">
      <alignment horizontal="center"/>
    </xf>
    <xf numFmtId="0" fontId="4" fillId="0" borderId="0" xfId="0" applyFont="1" applyAlignment="1">
      <alignment horizontal="center"/>
    </xf>
    <xf numFmtId="178" fontId="25" fillId="0" borderId="10" xfId="0" applyNumberFormat="1" applyFont="1" applyBorder="1" applyAlignment="1">
      <alignment horizontal="right"/>
    </xf>
    <xf numFmtId="0" fontId="3" fillId="0" borderId="10" xfId="0" applyFont="1" applyBorder="1" applyAlignment="1">
      <alignment/>
    </xf>
    <xf numFmtId="0" fontId="19" fillId="0" borderId="10" xfId="0" applyFont="1" applyBorder="1" applyAlignment="1">
      <alignment horizontal="left"/>
    </xf>
    <xf numFmtId="0" fontId="4" fillId="0" borderId="10" xfId="0" applyFont="1" applyBorder="1" applyAlignment="1">
      <alignment horizontal="center"/>
    </xf>
    <xf numFmtId="0" fontId="17" fillId="0" borderId="0" xfId="0" applyFont="1" applyFill="1" applyAlignment="1">
      <alignment horizontal="center"/>
    </xf>
    <xf numFmtId="0" fontId="4" fillId="0" borderId="0" xfId="0" applyFont="1" applyBorder="1" applyAlignment="1">
      <alignment horizontal="center"/>
    </xf>
    <xf numFmtId="0" fontId="17" fillId="0" borderId="0" xfId="0" applyFont="1" applyAlignment="1">
      <alignment horizontal="center"/>
    </xf>
    <xf numFmtId="0" fontId="17" fillId="0" borderId="10" xfId="0" applyFont="1" applyFill="1" applyBorder="1" applyAlignment="1">
      <alignment horizontal="center"/>
    </xf>
    <xf numFmtId="0" fontId="17" fillId="0" borderId="10"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1" xfId="0" applyFont="1" applyBorder="1" applyAlignment="1">
      <alignment horizontal="center"/>
    </xf>
    <xf numFmtId="0" fontId="17" fillId="0" borderId="1" xfId="0" applyFont="1" applyFill="1" applyBorder="1" applyAlignment="1">
      <alignment horizontal="center"/>
    </xf>
    <xf numFmtId="0" fontId="17" fillId="0" borderId="1" xfId="0" applyFont="1" applyBorder="1" applyAlignment="1">
      <alignment horizontal="center"/>
    </xf>
    <xf numFmtId="0" fontId="17" fillId="0" borderId="11" xfId="0" applyFont="1" applyFill="1" applyBorder="1" applyAlignment="1">
      <alignment horizontal="center"/>
    </xf>
    <xf numFmtId="0" fontId="17" fillId="0" borderId="11" xfId="0" applyFont="1" applyBorder="1" applyAlignment="1">
      <alignment horizontal="center"/>
    </xf>
    <xf numFmtId="0" fontId="3" fillId="0" borderId="0" xfId="0" applyFont="1" applyAlignment="1">
      <alignment horizontal="left"/>
    </xf>
    <xf numFmtId="1" fontId="3" fillId="0" borderId="0" xfId="0" applyNumberFormat="1" applyFont="1" applyAlignment="1">
      <alignment horizontal="center"/>
    </xf>
    <xf numFmtId="0" fontId="17" fillId="0" borderId="0" xfId="0" applyFont="1" applyFill="1" applyBorder="1" applyAlignment="1">
      <alignment horizontal="center"/>
    </xf>
    <xf numFmtId="0" fontId="17" fillId="0" borderId="0" xfId="0" applyFont="1" applyBorder="1" applyAlignment="1">
      <alignment horizontal="center"/>
    </xf>
    <xf numFmtId="0" fontId="3" fillId="0" borderId="0" xfId="0" applyFont="1" applyAlignment="1">
      <alignment horizontal="right"/>
    </xf>
    <xf numFmtId="0" fontId="4" fillId="0" borderId="0" xfId="0" applyFont="1" applyAlignment="1">
      <alignment horizontal="left"/>
    </xf>
    <xf numFmtId="179" fontId="20" fillId="0" borderId="0" xfId="0" applyNumberFormat="1" applyFont="1" applyFill="1" applyAlignment="1">
      <alignment horizontal="center"/>
    </xf>
    <xf numFmtId="179" fontId="4" fillId="0" borderId="0" xfId="0" applyNumberFormat="1" applyFont="1" applyAlignment="1">
      <alignment horizontal="center"/>
    </xf>
    <xf numFmtId="0" fontId="4" fillId="0" borderId="0" xfId="0" applyFont="1" applyAlignment="1">
      <alignment/>
    </xf>
    <xf numFmtId="1" fontId="4" fillId="0" borderId="0" xfId="0" applyNumberFormat="1" applyFont="1" applyAlignment="1">
      <alignment horizontal="center"/>
    </xf>
    <xf numFmtId="0" fontId="3" fillId="0" borderId="10" xfId="0" applyFont="1" applyBorder="1" applyAlignment="1">
      <alignment horizontal="left"/>
    </xf>
    <xf numFmtId="179" fontId="28" fillId="0" borderId="0" xfId="0" applyNumberFormat="1" applyFont="1" applyFill="1" applyAlignment="1">
      <alignment/>
    </xf>
    <xf numFmtId="179" fontId="3" fillId="0" borderId="0" xfId="17" applyNumberFormat="1" applyFont="1" applyFill="1" applyBorder="1" applyAlignment="1" applyProtection="1">
      <alignment horizontal="left"/>
      <protection/>
    </xf>
    <xf numFmtId="179" fontId="4" fillId="0" borderId="0" xfId="0" applyNumberFormat="1" applyFont="1" applyAlignment="1">
      <alignment horizontal="center"/>
    </xf>
    <xf numFmtId="179" fontId="4" fillId="0" borderId="0" xfId="0" applyNumberFormat="1" applyFont="1" applyFill="1" applyAlignment="1">
      <alignment horizontal="left"/>
    </xf>
    <xf numFmtId="0" fontId="16" fillId="0" borderId="0" xfId="0" applyFont="1" applyAlignment="1">
      <alignment/>
    </xf>
    <xf numFmtId="0" fontId="16" fillId="0" borderId="10" xfId="0" applyFont="1" applyFill="1" applyBorder="1" applyAlignment="1">
      <alignment horizontal="center"/>
    </xf>
    <xf numFmtId="0" fontId="16" fillId="0" borderId="0" xfId="0" applyFont="1" applyAlignment="1">
      <alignment horizontal="center"/>
    </xf>
    <xf numFmtId="2" fontId="3" fillId="0" borderId="10" xfId="0" applyNumberFormat="1" applyFont="1" applyBorder="1" applyAlignment="1">
      <alignment horizontal="center"/>
    </xf>
    <xf numFmtId="179" fontId="20"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1" fontId="4" fillId="0" borderId="0" xfId="0" applyNumberFormat="1" applyFont="1" applyBorder="1" applyAlignment="1">
      <alignment horizontal="center"/>
    </xf>
    <xf numFmtId="0" fontId="17" fillId="0" borderId="0" xfId="0" applyFont="1" applyBorder="1" applyAlignment="1">
      <alignment horizontal="right"/>
    </xf>
    <xf numFmtId="179" fontId="16" fillId="0" borderId="0" xfId="0" applyNumberFormat="1" applyFont="1" applyFill="1" applyAlignment="1">
      <alignment horizontal="center"/>
    </xf>
    <xf numFmtId="179" fontId="16" fillId="0" borderId="0" xfId="0" applyNumberFormat="1" applyFont="1" applyFill="1" applyAlignment="1">
      <alignment horizontal="center"/>
    </xf>
    <xf numFmtId="179" fontId="3" fillId="0" borderId="0" xfId="0" applyNumberFormat="1" applyFont="1" applyFill="1" applyAlignment="1">
      <alignment horizontal="center"/>
    </xf>
    <xf numFmtId="1" fontId="3" fillId="0" borderId="0" xfId="0" applyNumberFormat="1" applyFont="1" applyFill="1" applyAlignment="1">
      <alignment horizontal="center"/>
    </xf>
    <xf numFmtId="179" fontId="16" fillId="0" borderId="10" xfId="0" applyNumberFormat="1" applyFont="1" applyFill="1" applyBorder="1" applyAlignment="1">
      <alignment horizontal="center"/>
    </xf>
    <xf numFmtId="2" fontId="16" fillId="0" borderId="10" xfId="0" applyNumberFormat="1" applyFont="1" applyFill="1" applyBorder="1" applyAlignment="1">
      <alignment horizontal="center"/>
    </xf>
    <xf numFmtId="0" fontId="4" fillId="0" borderId="0" xfId="0" applyFont="1" applyAlignment="1">
      <alignment horizontal="right"/>
    </xf>
    <xf numFmtId="1" fontId="4" fillId="0" borderId="12" xfId="0" applyNumberFormat="1" applyFont="1" applyBorder="1" applyAlignment="1">
      <alignment horizontal="center"/>
    </xf>
    <xf numFmtId="1" fontId="4" fillId="0" borderId="13" xfId="0"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left"/>
    </xf>
    <xf numFmtId="179" fontId="4" fillId="0" borderId="1" xfId="0" applyNumberFormat="1" applyFont="1" applyBorder="1" applyAlignment="1">
      <alignment horizontal="center"/>
    </xf>
    <xf numFmtId="0" fontId="3" fillId="0" borderId="11" xfId="0" applyFont="1" applyBorder="1" applyAlignment="1">
      <alignment/>
    </xf>
    <xf numFmtId="179" fontId="16" fillId="0" borderId="1" xfId="0" applyNumberFormat="1" applyFont="1" applyFill="1" applyBorder="1" applyAlignment="1">
      <alignment/>
    </xf>
    <xf numFmtId="179" fontId="3" fillId="0" borderId="1" xfId="17" applyNumberFormat="1" applyFont="1" applyFill="1" applyBorder="1" applyAlignment="1" applyProtection="1">
      <alignment horizontal="center"/>
      <protection/>
    </xf>
    <xf numFmtId="0" fontId="16" fillId="0" borderId="1" xfId="0" applyFont="1" applyBorder="1" applyAlignment="1">
      <alignment/>
    </xf>
    <xf numFmtId="0" fontId="3" fillId="0" borderId="1" xfId="0" applyFont="1" applyBorder="1" applyAlignment="1">
      <alignment/>
    </xf>
    <xf numFmtId="0" fontId="16" fillId="0" borderId="11" xfId="0" applyFont="1" applyFill="1" applyBorder="1" applyAlignment="1">
      <alignment horizontal="center"/>
    </xf>
    <xf numFmtId="1" fontId="3" fillId="0" borderId="1" xfId="0" applyNumberFormat="1" applyFont="1" applyBorder="1" applyAlignment="1">
      <alignment horizontal="center"/>
    </xf>
    <xf numFmtId="0" fontId="16" fillId="0" borderId="1" xfId="0" applyFont="1" applyBorder="1" applyAlignment="1">
      <alignment horizontal="center"/>
    </xf>
    <xf numFmtId="2" fontId="3" fillId="0" borderId="11" xfId="0" applyNumberFormat="1" applyFont="1" applyBorder="1" applyAlignment="1">
      <alignment horizontal="center"/>
    </xf>
    <xf numFmtId="0" fontId="4" fillId="0" borderId="0" xfId="0" applyFont="1" applyBorder="1" applyAlignment="1">
      <alignment horizontal="left"/>
    </xf>
    <xf numFmtId="0" fontId="4" fillId="0" borderId="0" xfId="0" applyNumberFormat="1" applyFont="1" applyFill="1" applyBorder="1" applyAlignment="1">
      <alignment horizontal="center"/>
    </xf>
    <xf numFmtId="179" fontId="16" fillId="0" borderId="0" xfId="0" applyNumberFormat="1" applyFont="1" applyFill="1" applyBorder="1" applyAlignment="1">
      <alignment/>
    </xf>
    <xf numFmtId="179" fontId="3" fillId="0" borderId="0" xfId="17" applyNumberFormat="1" applyFont="1" applyFill="1" applyBorder="1" applyAlignment="1" applyProtection="1">
      <alignment horizontal="center"/>
      <protection/>
    </xf>
    <xf numFmtId="0" fontId="16"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 fontId="3" fillId="0" borderId="0" xfId="0" applyNumberFormat="1" applyFont="1" applyBorder="1" applyAlignment="1">
      <alignment horizontal="center"/>
    </xf>
    <xf numFmtId="0" fontId="16"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xf>
    <xf numFmtId="0" fontId="3" fillId="0" borderId="0" xfId="0" applyNumberFormat="1" applyFont="1" applyFill="1" applyBorder="1" applyAlignment="1">
      <alignment horizontal="center"/>
    </xf>
    <xf numFmtId="2" fontId="16" fillId="0" borderId="0" xfId="0" applyNumberFormat="1" applyFont="1" applyFill="1" applyAlignment="1">
      <alignment horizontal="center"/>
    </xf>
    <xf numFmtId="179" fontId="19" fillId="0" borderId="10" xfId="0" applyNumberFormat="1" applyFont="1" applyFill="1" applyBorder="1" applyAlignment="1">
      <alignment horizontal="center"/>
    </xf>
    <xf numFmtId="179" fontId="19" fillId="0" borderId="0" xfId="0" applyNumberFormat="1" applyFont="1" applyFill="1" applyAlignment="1">
      <alignment horizontal="center"/>
    </xf>
    <xf numFmtId="0" fontId="15" fillId="0" borderId="0" xfId="0" applyFont="1" applyFill="1" applyAlignment="1">
      <alignment/>
    </xf>
    <xf numFmtId="1" fontId="15" fillId="0" borderId="0" xfId="0" applyNumberFormat="1" applyFont="1" applyFill="1" applyAlignment="1">
      <alignment horizontal="center"/>
    </xf>
    <xf numFmtId="0" fontId="15" fillId="0" borderId="0" xfId="0" applyFont="1" applyFill="1" applyAlignment="1">
      <alignment horizontal="left"/>
    </xf>
    <xf numFmtId="1" fontId="29" fillId="0" borderId="1" xfId="0" applyNumberFormat="1" applyFont="1" applyFill="1" applyBorder="1" applyAlignment="1">
      <alignment horizontal="center"/>
    </xf>
    <xf numFmtId="0" fontId="4" fillId="0" borderId="11" xfId="0" applyFont="1" applyBorder="1" applyAlignment="1">
      <alignment/>
    </xf>
    <xf numFmtId="179" fontId="4" fillId="0" borderId="1" xfId="0" applyNumberFormat="1" applyFont="1" applyFill="1" applyBorder="1" applyAlignment="1">
      <alignment/>
    </xf>
    <xf numFmtId="179" fontId="4" fillId="0" borderId="1" xfId="17" applyNumberFormat="1" applyFont="1" applyFill="1" applyBorder="1" applyAlignment="1" applyProtection="1">
      <alignment horizontal="center"/>
      <protection/>
    </xf>
    <xf numFmtId="0" fontId="17" fillId="0" borderId="1" xfId="0" applyFont="1" applyBorder="1" applyAlignment="1">
      <alignment/>
    </xf>
    <xf numFmtId="0" fontId="4" fillId="0" borderId="1" xfId="0" applyFont="1" applyBorder="1" applyAlignment="1">
      <alignment/>
    </xf>
    <xf numFmtId="1" fontId="4" fillId="0" borderId="1" xfId="0" applyNumberFormat="1" applyFont="1" applyBorder="1" applyAlignment="1">
      <alignment horizontal="center"/>
    </xf>
    <xf numFmtId="2" fontId="4" fillId="0" borderId="11" xfId="0" applyNumberFormat="1" applyFont="1" applyBorder="1" applyAlignment="1">
      <alignment horizontal="center"/>
    </xf>
    <xf numFmtId="1" fontId="29" fillId="0" borderId="0" xfId="0" applyNumberFormat="1" applyFont="1" applyFill="1" applyAlignment="1">
      <alignment horizontal="center"/>
    </xf>
    <xf numFmtId="0" fontId="4" fillId="0" borderId="10" xfId="0" applyFont="1" applyBorder="1" applyAlignment="1">
      <alignment/>
    </xf>
    <xf numFmtId="179" fontId="4" fillId="0" borderId="0" xfId="0" applyNumberFormat="1" applyFont="1" applyFill="1" applyAlignment="1">
      <alignment/>
    </xf>
    <xf numFmtId="179" fontId="4" fillId="0" borderId="0" xfId="17" applyNumberFormat="1" applyFont="1" applyFill="1" applyBorder="1" applyAlignment="1" applyProtection="1">
      <alignment horizontal="center"/>
      <protection/>
    </xf>
    <xf numFmtId="0" fontId="17" fillId="0" borderId="0" xfId="0" applyFont="1" applyAlignment="1">
      <alignment/>
    </xf>
    <xf numFmtId="2" fontId="4" fillId="0" borderId="10" xfId="0" applyNumberFormat="1" applyFont="1" applyBorder="1" applyAlignment="1">
      <alignment horizontal="center"/>
    </xf>
    <xf numFmtId="179" fontId="19" fillId="0" borderId="0" xfId="0" applyNumberFormat="1" applyFont="1" applyFill="1" applyAlignment="1">
      <alignment horizontal="center"/>
    </xf>
    <xf numFmtId="0" fontId="3" fillId="0" borderId="10" xfId="0" applyFont="1" applyBorder="1" applyAlignment="1">
      <alignment/>
    </xf>
    <xf numFmtId="0" fontId="4" fillId="0" borderId="0" xfId="0" applyFont="1" applyFill="1" applyAlignment="1">
      <alignment horizontal="center"/>
    </xf>
    <xf numFmtId="0" fontId="3" fillId="0" borderId="10" xfId="0" applyFont="1" applyFill="1" applyBorder="1" applyAlignment="1">
      <alignment/>
    </xf>
    <xf numFmtId="0" fontId="4" fillId="0" borderId="0" xfId="0" applyFont="1" applyFill="1" applyAlignment="1">
      <alignment horizontal="left"/>
    </xf>
    <xf numFmtId="0" fontId="4" fillId="0" borderId="8" xfId="0" applyFont="1" applyFill="1" applyBorder="1" applyAlignment="1">
      <alignment horizontal="left"/>
    </xf>
    <xf numFmtId="0" fontId="4" fillId="0" borderId="10" xfId="0" applyFont="1" applyFill="1" applyBorder="1" applyAlignment="1">
      <alignment horizontal="left"/>
    </xf>
    <xf numFmtId="179" fontId="30" fillId="0" borderId="0" xfId="0" applyNumberFormat="1" applyFont="1" applyFill="1" applyAlignment="1">
      <alignment horizontal="right"/>
    </xf>
    <xf numFmtId="179" fontId="4" fillId="0" borderId="0" xfId="0" applyNumberFormat="1" applyFont="1" applyFill="1" applyAlignment="1">
      <alignment horizontal="center"/>
    </xf>
    <xf numFmtId="2" fontId="4" fillId="0" borderId="0" xfId="0" applyNumberFormat="1" applyFont="1" applyFill="1" applyAlignment="1">
      <alignment/>
    </xf>
    <xf numFmtId="179"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2" fontId="30" fillId="0" borderId="0" xfId="0" applyNumberFormat="1" applyFont="1" applyFill="1" applyBorder="1" applyAlignment="1">
      <alignment/>
    </xf>
    <xf numFmtId="179" fontId="4" fillId="0" borderId="0" xfId="0" applyNumberFormat="1" applyFont="1" applyFill="1" applyBorder="1" applyAlignment="1">
      <alignment horizontal="center"/>
    </xf>
    <xf numFmtId="2" fontId="31"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9" fillId="0" borderId="0" xfId="0" applyFont="1" applyFill="1" applyAlignment="1">
      <alignment horizontal="center"/>
    </xf>
    <xf numFmtId="2" fontId="3" fillId="0" borderId="0" xfId="0" applyNumberFormat="1" applyFont="1" applyFill="1" applyAlignment="1">
      <alignment horizontal="center"/>
    </xf>
    <xf numFmtId="0" fontId="19" fillId="0" borderId="0" xfId="0" applyFont="1" applyFill="1" applyAlignment="1">
      <alignment/>
    </xf>
    <xf numFmtId="1" fontId="19" fillId="0" borderId="0" xfId="0" applyNumberFormat="1"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horizontal="left"/>
    </xf>
    <xf numFmtId="0" fontId="3" fillId="0" borderId="0" xfId="0" applyFont="1" applyFill="1" applyAlignment="1">
      <alignment horizontal="left"/>
    </xf>
    <xf numFmtId="0" fontId="32" fillId="0" borderId="0" xfId="0" applyFont="1" applyFill="1" applyAlignment="1">
      <alignment horizontal="left"/>
    </xf>
    <xf numFmtId="0" fontId="32" fillId="0" borderId="0" xfId="0" applyFont="1" applyFill="1" applyAlignment="1">
      <alignment horizontal="left" wrapText="1"/>
    </xf>
    <xf numFmtId="49" fontId="3" fillId="0" borderId="0" xfId="0" applyNumberFormat="1" applyFont="1" applyFill="1" applyBorder="1" applyAlignment="1">
      <alignment horizontal="center"/>
    </xf>
    <xf numFmtId="0" fontId="32" fillId="0" borderId="0" xfId="0" applyFont="1" applyFill="1" applyBorder="1" applyAlignment="1">
      <alignment horizontal="left"/>
    </xf>
    <xf numFmtId="0" fontId="19" fillId="0" borderId="0" xfId="0" applyFont="1" applyFill="1" applyBorder="1" applyAlignment="1">
      <alignment horizontal="center"/>
    </xf>
    <xf numFmtId="0" fontId="3" fillId="0" borderId="0" xfId="0" applyFont="1" applyFill="1" applyBorder="1" applyAlignment="1">
      <alignment/>
    </xf>
    <xf numFmtId="0" fontId="32" fillId="0" borderId="0" xfId="0" applyFont="1" applyFill="1" applyAlignment="1">
      <alignment horizontal="right"/>
    </xf>
    <xf numFmtId="179" fontId="16" fillId="0" borderId="0" xfId="0" applyNumberFormat="1" applyFont="1" applyFill="1" applyAlignment="1">
      <alignment horizontal="left"/>
    </xf>
    <xf numFmtId="0" fontId="3" fillId="0" borderId="1" xfId="0" applyFont="1" applyFill="1" applyBorder="1" applyAlignment="1">
      <alignment horizontal="center"/>
    </xf>
    <xf numFmtId="0" fontId="32" fillId="0" borderId="1" xfId="0" applyFont="1" applyFill="1" applyBorder="1" applyAlignment="1">
      <alignment horizontal="right"/>
    </xf>
    <xf numFmtId="179" fontId="3" fillId="0" borderId="1" xfId="0" applyNumberFormat="1" applyFont="1" applyFill="1" applyBorder="1" applyAlignment="1">
      <alignment horizontal="left"/>
    </xf>
    <xf numFmtId="179" fontId="3" fillId="0" borderId="11" xfId="0" applyNumberFormat="1" applyFont="1" applyFill="1" applyBorder="1" applyAlignment="1">
      <alignment horizontal="center"/>
    </xf>
    <xf numFmtId="179" fontId="28" fillId="0" borderId="1" xfId="0" applyNumberFormat="1" applyFont="1" applyFill="1" applyBorder="1" applyAlignment="1">
      <alignment/>
    </xf>
    <xf numFmtId="179" fontId="3" fillId="0" borderId="1" xfId="0" applyNumberFormat="1" applyFont="1" applyFill="1" applyBorder="1" applyAlignment="1">
      <alignment horizontal="center"/>
    </xf>
    <xf numFmtId="2" fontId="16"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179" fontId="19" fillId="0" borderId="11" xfId="0" applyNumberFormat="1" applyFont="1" applyFill="1" applyBorder="1" applyAlignment="1">
      <alignment horizontal="center"/>
    </xf>
    <xf numFmtId="179" fontId="19" fillId="0" borderId="1" xfId="0" applyNumberFormat="1" applyFont="1" applyFill="1" applyBorder="1" applyAlignment="1">
      <alignment horizontal="center"/>
    </xf>
    <xf numFmtId="2" fontId="16" fillId="0" borderId="11" xfId="0" applyNumberFormat="1" applyFont="1" applyFill="1" applyBorder="1" applyAlignment="1">
      <alignment horizontal="center"/>
    </xf>
    <xf numFmtId="179" fontId="29" fillId="0" borderId="0" xfId="0" applyNumberFormat="1" applyFont="1" applyFill="1" applyAlignment="1">
      <alignment horizontal="center"/>
    </xf>
    <xf numFmtId="0" fontId="4" fillId="0" borderId="10" xfId="0" applyFont="1" applyBorder="1" applyAlignment="1">
      <alignment horizontal="left"/>
    </xf>
    <xf numFmtId="179" fontId="3" fillId="0" borderId="0" xfId="0" applyNumberFormat="1" applyFont="1" applyAlignment="1">
      <alignment horizontal="center"/>
    </xf>
    <xf numFmtId="2" fontId="17" fillId="0" borderId="0" xfId="0" applyNumberFormat="1" applyFont="1" applyAlignment="1">
      <alignment horizontal="center"/>
    </xf>
    <xf numFmtId="1" fontId="17" fillId="0" borderId="10" xfId="0" applyNumberFormat="1" applyFont="1" applyFill="1" applyBorder="1" applyAlignment="1">
      <alignment horizontal="center"/>
    </xf>
    <xf numFmtId="179" fontId="29" fillId="0" borderId="0" xfId="0" applyNumberFormat="1" applyFont="1" applyAlignment="1">
      <alignment horizontal="center"/>
    </xf>
    <xf numFmtId="2" fontId="17" fillId="0" borderId="10" xfId="0" applyNumberFormat="1" applyFont="1" applyBorder="1" applyAlignment="1">
      <alignment horizontal="center"/>
    </xf>
    <xf numFmtId="179" fontId="4" fillId="0" borderId="0" xfId="0" applyNumberFormat="1" applyFont="1" applyBorder="1" applyAlignment="1">
      <alignment horizontal="center"/>
    </xf>
    <xf numFmtId="0" fontId="4" fillId="0" borderId="8" xfId="0" applyFont="1" applyBorder="1" applyAlignment="1">
      <alignment horizontal="left"/>
    </xf>
    <xf numFmtId="2" fontId="3" fillId="0" borderId="0" xfId="0" applyNumberFormat="1" applyFont="1" applyFill="1" applyAlignment="1">
      <alignment horizontal="center"/>
    </xf>
    <xf numFmtId="179" fontId="3" fillId="0" borderId="10"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179" fontId="19" fillId="0" borderId="0" xfId="0" applyNumberFormat="1" applyFont="1" applyFill="1" applyBorder="1" applyAlignment="1">
      <alignment/>
    </xf>
    <xf numFmtId="0" fontId="19" fillId="0" borderId="0" xfId="0" applyFont="1" applyFill="1" applyBorder="1" applyAlignment="1">
      <alignment/>
    </xf>
    <xf numFmtId="0" fontId="15" fillId="0" borderId="0" xfId="0" applyFont="1" applyAlignment="1">
      <alignment horizontal="center"/>
    </xf>
    <xf numFmtId="0" fontId="16" fillId="0" borderId="10" xfId="0" applyFont="1" applyBorder="1" applyAlignment="1">
      <alignment horizontal="center"/>
    </xf>
    <xf numFmtId="0" fontId="15" fillId="0" borderId="0" xfId="0" applyFont="1" applyAlignment="1">
      <alignment horizontal="left"/>
    </xf>
    <xf numFmtId="2" fontId="16" fillId="0" borderId="0" xfId="0" applyNumberFormat="1" applyFont="1" applyAlignment="1">
      <alignment horizontal="center"/>
    </xf>
    <xf numFmtId="1" fontId="19" fillId="0" borderId="10" xfId="0" applyNumberFormat="1" applyFont="1" applyFill="1" applyBorder="1" applyAlignment="1">
      <alignment horizontal="center"/>
    </xf>
    <xf numFmtId="179" fontId="19" fillId="0" borderId="0" xfId="0" applyNumberFormat="1" applyFont="1" applyAlignment="1">
      <alignment horizontal="center"/>
    </xf>
    <xf numFmtId="2" fontId="16" fillId="0" borderId="10" xfId="0" applyNumberFormat="1" applyFont="1" applyBorder="1" applyAlignment="1">
      <alignment horizontal="center"/>
    </xf>
    <xf numFmtId="0" fontId="15" fillId="0" borderId="0" xfId="0" applyFont="1" applyAlignment="1">
      <alignment/>
    </xf>
    <xf numFmtId="1" fontId="15" fillId="0" borderId="0" xfId="0" applyNumberFormat="1" applyFont="1" applyAlignment="1">
      <alignment horizontal="center"/>
    </xf>
    <xf numFmtId="179" fontId="17" fillId="0" borderId="0" xfId="0" applyNumberFormat="1" applyFont="1" applyFill="1" applyAlignment="1">
      <alignment horizontal="center"/>
    </xf>
    <xf numFmtId="0" fontId="3" fillId="0" borderId="10" xfId="0" applyFont="1" applyBorder="1" applyAlignment="1">
      <alignment horizontal="left"/>
    </xf>
    <xf numFmtId="179" fontId="28" fillId="0" borderId="0" xfId="0" applyNumberFormat="1" applyFont="1" applyAlignment="1">
      <alignment/>
    </xf>
    <xf numFmtId="179" fontId="4" fillId="0" borderId="0" xfId="0" applyNumberFormat="1" applyFont="1" applyAlignment="1">
      <alignment horizontal="left"/>
    </xf>
    <xf numFmtId="0" fontId="19" fillId="0" borderId="0" xfId="0" applyFont="1" applyFill="1" applyBorder="1" applyAlignment="1">
      <alignment horizontal="left" wrapText="1"/>
    </xf>
    <xf numFmtId="49" fontId="10" fillId="0" borderId="0" xfId="0" applyNumberFormat="1" applyFont="1" applyFill="1" applyBorder="1" applyAlignment="1">
      <alignment horizontal="center" wrapText="1"/>
    </xf>
    <xf numFmtId="1" fontId="19" fillId="0" borderId="0" xfId="0" applyNumberFormat="1" applyFont="1" applyFill="1" applyBorder="1" applyAlignment="1">
      <alignment horizontal="center"/>
    </xf>
    <xf numFmtId="179" fontId="16" fillId="0" borderId="10" xfId="0" applyNumberFormat="1" applyFont="1" applyFill="1" applyBorder="1" applyAlignment="1">
      <alignment horizontal="center"/>
    </xf>
    <xf numFmtId="179" fontId="16" fillId="0" borderId="0" xfId="0"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Alignment="1">
      <alignment/>
    </xf>
    <xf numFmtId="1" fontId="4" fillId="0" borderId="0" xfId="0" applyNumberFormat="1" applyFont="1" applyFill="1" applyAlignment="1">
      <alignment horizontal="center"/>
    </xf>
    <xf numFmtId="0" fontId="0" fillId="0" borderId="0" xfId="0" applyFont="1" applyFill="1" applyAlignment="1">
      <alignment horizontal="center"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left"/>
    </xf>
    <xf numFmtId="179" fontId="16" fillId="0" borderId="1" xfId="0" applyNumberFormat="1" applyFont="1" applyFill="1" applyBorder="1" applyAlignment="1">
      <alignment horizontal="center"/>
    </xf>
    <xf numFmtId="1" fontId="16" fillId="0" borderId="11"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 fontId="16" fillId="0" borderId="10" xfId="0" applyNumberFormat="1" applyFont="1" applyFill="1" applyBorder="1" applyAlignment="1">
      <alignment horizontal="center"/>
    </xf>
    <xf numFmtId="0" fontId="33" fillId="0" borderId="0" xfId="0" applyFont="1" applyAlignment="1">
      <alignment horizontal="center"/>
    </xf>
    <xf numFmtId="0" fontId="4" fillId="0" borderId="0" xfId="0" applyFont="1" applyAlignment="1">
      <alignment horizontal="right"/>
    </xf>
    <xf numFmtId="0" fontId="28" fillId="0" borderId="0" xfId="0" applyFont="1" applyFill="1" applyAlignment="1">
      <alignment horizontal="left"/>
    </xf>
    <xf numFmtId="179" fontId="33" fillId="0" borderId="0" xfId="0" applyNumberFormat="1" applyFont="1" applyAlignment="1">
      <alignment horizontal="center"/>
    </xf>
    <xf numFmtId="2" fontId="34" fillId="0" borderId="0" xfId="0" applyNumberFormat="1" applyFont="1" applyAlignment="1">
      <alignment horizontal="center"/>
    </xf>
    <xf numFmtId="1" fontId="33" fillId="0" borderId="0" xfId="0" applyNumberFormat="1" applyFont="1" applyAlignment="1">
      <alignment horizontal="center"/>
    </xf>
    <xf numFmtId="1" fontId="34" fillId="0" borderId="10" xfId="0" applyNumberFormat="1" applyFont="1" applyFill="1" applyBorder="1" applyAlignment="1">
      <alignment horizontal="center"/>
    </xf>
    <xf numFmtId="179" fontId="25" fillId="0" borderId="0" xfId="0" applyNumberFormat="1" applyFont="1" applyAlignment="1">
      <alignment horizontal="center"/>
    </xf>
    <xf numFmtId="2" fontId="34" fillId="0" borderId="10" xfId="0" applyNumberFormat="1" applyFont="1" applyBorder="1" applyAlignment="1">
      <alignment horizontal="center"/>
    </xf>
    <xf numFmtId="0" fontId="33" fillId="0" borderId="0" xfId="0" applyFont="1" applyAlignment="1">
      <alignment/>
    </xf>
    <xf numFmtId="0" fontId="33" fillId="0" borderId="0" xfId="0" applyFont="1" applyFill="1" applyAlignment="1">
      <alignment horizontal="center"/>
    </xf>
    <xf numFmtId="0" fontId="4" fillId="0" borderId="0" xfId="0" applyFont="1" applyFill="1" applyAlignment="1">
      <alignment horizontal="right"/>
    </xf>
    <xf numFmtId="179" fontId="3" fillId="0" borderId="0" xfId="0" applyNumberFormat="1" applyFont="1" applyFill="1" applyAlignment="1">
      <alignment horizontal="left"/>
    </xf>
    <xf numFmtId="2" fontId="34" fillId="0" borderId="0" xfId="0" applyNumberFormat="1" applyFont="1" applyFill="1" applyBorder="1" applyAlignment="1">
      <alignment horizontal="center"/>
    </xf>
    <xf numFmtId="179" fontId="33" fillId="0" borderId="0" xfId="0" applyNumberFormat="1" applyFont="1" applyFill="1" applyBorder="1" applyAlignment="1">
      <alignment horizontal="center"/>
    </xf>
    <xf numFmtId="1" fontId="33" fillId="0" borderId="0" xfId="0" applyNumberFormat="1" applyFont="1" applyFill="1" applyBorder="1" applyAlignment="1">
      <alignment horizontal="center"/>
    </xf>
    <xf numFmtId="179" fontId="25" fillId="0" borderId="0" xfId="0" applyNumberFormat="1" applyFont="1" applyFill="1" applyBorder="1" applyAlignment="1">
      <alignment horizontal="center"/>
    </xf>
    <xf numFmtId="2" fontId="34" fillId="0" borderId="10" xfId="0" applyNumberFormat="1" applyFont="1" applyFill="1" applyBorder="1" applyAlignment="1">
      <alignment horizontal="center"/>
    </xf>
    <xf numFmtId="179" fontId="33" fillId="0" borderId="0" xfId="0" applyNumberFormat="1" applyFont="1" applyFill="1" applyAlignment="1">
      <alignment horizontal="center"/>
    </xf>
    <xf numFmtId="0" fontId="33" fillId="0" borderId="0" xfId="0" applyFont="1" applyFill="1" applyAlignment="1">
      <alignment/>
    </xf>
    <xf numFmtId="1" fontId="33" fillId="0" borderId="0" xfId="0" applyNumberFormat="1" applyFont="1" applyFill="1" applyAlignment="1">
      <alignment horizontal="center"/>
    </xf>
    <xf numFmtId="0" fontId="4" fillId="0" borderId="0" xfId="0" applyFont="1" applyFill="1" applyBorder="1" applyAlignment="1">
      <alignment horizontal="left"/>
    </xf>
    <xf numFmtId="0" fontId="3" fillId="0" borderId="0" xfId="0" applyFont="1" applyFill="1" applyAlignment="1">
      <alignment wrapText="1"/>
    </xf>
    <xf numFmtId="49" fontId="0" fillId="0" borderId="0" xfId="0" applyNumberFormat="1" applyFont="1" applyFill="1" applyBorder="1" applyAlignment="1">
      <alignment horizontal="center" wrapText="1"/>
    </xf>
    <xf numFmtId="0" fontId="0" fillId="0" borderId="0" xfId="0" applyFont="1" applyFill="1" applyAlignment="1">
      <alignment horizontal="center" wrapText="1"/>
    </xf>
    <xf numFmtId="0" fontId="3" fillId="0" borderId="14" xfId="0" applyFont="1" applyBorder="1" applyAlignment="1">
      <alignment horizontal="center"/>
    </xf>
    <xf numFmtId="0" fontId="35" fillId="0" borderId="14" xfId="0" applyFont="1" applyBorder="1" applyAlignment="1">
      <alignment horizontal="left"/>
    </xf>
    <xf numFmtId="1" fontId="35" fillId="0" borderId="14" xfId="0" applyNumberFormat="1" applyFont="1" applyBorder="1" applyAlignment="1">
      <alignment horizontal="center"/>
    </xf>
    <xf numFmtId="1" fontId="35" fillId="0" borderId="15" xfId="0" applyNumberFormat="1" applyFont="1" applyBorder="1" applyAlignment="1">
      <alignment horizontal="center"/>
    </xf>
    <xf numFmtId="179" fontId="3" fillId="0" borderId="14" xfId="0" applyNumberFormat="1" applyFont="1" applyBorder="1" applyAlignment="1">
      <alignment/>
    </xf>
    <xf numFmtId="0" fontId="3" fillId="0" borderId="14" xfId="0" applyFont="1" applyBorder="1" applyAlignment="1">
      <alignment/>
    </xf>
    <xf numFmtId="0" fontId="3" fillId="0" borderId="15" xfId="0" applyFont="1" applyBorder="1" applyAlignment="1">
      <alignment/>
    </xf>
    <xf numFmtId="179" fontId="16" fillId="0" borderId="0" xfId="0" applyNumberFormat="1" applyFont="1" applyAlignment="1">
      <alignment horizontal="center"/>
    </xf>
    <xf numFmtId="179" fontId="17" fillId="0" borderId="0" xfId="0" applyNumberFormat="1" applyFont="1" applyFill="1" applyAlignment="1">
      <alignment horizontal="center"/>
    </xf>
    <xf numFmtId="0" fontId="3" fillId="0" borderId="10" xfId="0" applyFont="1" applyFill="1" applyBorder="1" applyAlignment="1">
      <alignment horizontal="left"/>
    </xf>
    <xf numFmtId="0" fontId="3" fillId="0" borderId="8" xfId="0" applyFont="1" applyFill="1" applyBorder="1" applyAlignment="1">
      <alignment/>
    </xf>
    <xf numFmtId="0" fontId="3" fillId="0" borderId="10" xfId="0" applyFont="1" applyFill="1" applyBorder="1" applyAlignment="1">
      <alignment/>
    </xf>
    <xf numFmtId="1" fontId="4" fillId="0" borderId="0" xfId="0" applyNumberFormat="1" applyFont="1" applyAlignment="1">
      <alignment horizontal="right"/>
    </xf>
    <xf numFmtId="1" fontId="4" fillId="0" borderId="0" xfId="0" applyNumberFormat="1" applyFont="1" applyAlignment="1">
      <alignment horizontal="center"/>
    </xf>
    <xf numFmtId="1" fontId="16" fillId="0" borderId="0" xfId="0" applyNumberFormat="1" applyFont="1" applyAlignment="1">
      <alignment horizontal="center"/>
    </xf>
    <xf numFmtId="2" fontId="17" fillId="0" borderId="0" xfId="0" applyNumberFormat="1" applyFont="1" applyAlignment="1">
      <alignment horizontal="left"/>
    </xf>
    <xf numFmtId="179" fontId="3" fillId="0" borderId="0" xfId="0" applyNumberFormat="1" applyFont="1" applyFill="1" applyAlignment="1">
      <alignment horizontal="center"/>
    </xf>
    <xf numFmtId="0" fontId="36" fillId="0" borderId="0" xfId="0" applyFont="1" applyAlignment="1">
      <alignment horizontal="left"/>
    </xf>
    <xf numFmtId="0" fontId="36" fillId="0" borderId="0" xfId="0" applyFont="1" applyAlignment="1">
      <alignment horizontal="center"/>
    </xf>
    <xf numFmtId="2" fontId="3" fillId="0" borderId="0" xfId="0" applyNumberFormat="1" applyFont="1" applyAlignment="1">
      <alignment/>
    </xf>
    <xf numFmtId="179" fontId="17" fillId="0" borderId="0" xfId="0" applyNumberFormat="1" applyFont="1" applyAlignment="1">
      <alignment horizontal="center"/>
    </xf>
    <xf numFmtId="1" fontId="29" fillId="0" borderId="0" xfId="0" applyNumberFormat="1" applyFont="1" applyAlignment="1">
      <alignment horizontal="center"/>
    </xf>
    <xf numFmtId="0" fontId="4" fillId="0" borderId="0" xfId="0" applyFont="1" applyAlignment="1">
      <alignment/>
    </xf>
    <xf numFmtId="49" fontId="3" fillId="0" borderId="0" xfId="0" applyNumberFormat="1" applyFont="1" applyBorder="1" applyAlignment="1">
      <alignment horizontal="center"/>
    </xf>
    <xf numFmtId="0" fontId="19" fillId="0" borderId="0" xfId="0" applyFont="1" applyAlignment="1">
      <alignment horizontal="left"/>
    </xf>
    <xf numFmtId="0" fontId="3" fillId="0" borderId="0" xfId="0" applyFont="1" applyAlignment="1">
      <alignment horizontal="left" wrapText="1"/>
    </xf>
    <xf numFmtId="0" fontId="3" fillId="0" borderId="8" xfId="0" applyFont="1" applyBorder="1" applyAlignment="1">
      <alignment horizontal="center"/>
    </xf>
    <xf numFmtId="1" fontId="3" fillId="0" borderId="8" xfId="0" applyNumberFormat="1" applyFont="1" applyBorder="1" applyAlignment="1">
      <alignment horizontal="center"/>
    </xf>
    <xf numFmtId="2" fontId="3" fillId="0" borderId="0" xfId="0" applyNumberFormat="1" applyFont="1" applyAlignment="1">
      <alignment horizontal="center"/>
    </xf>
    <xf numFmtId="179" fontId="3" fillId="0" borderId="0" xfId="0" applyNumberFormat="1" applyFont="1" applyAlignment="1">
      <alignment/>
    </xf>
    <xf numFmtId="49" fontId="0" fillId="0" borderId="0" xfId="0" applyNumberFormat="1" applyFont="1" applyBorder="1" applyAlignment="1">
      <alignment horizontal="center" wrapText="1"/>
    </xf>
    <xf numFmtId="0" fontId="32" fillId="0" borderId="0" xfId="0" applyFont="1" applyAlignment="1">
      <alignment/>
    </xf>
    <xf numFmtId="0" fontId="4" fillId="0" borderId="0" xfId="0" applyNumberFormat="1" applyFont="1" applyFill="1" applyAlignment="1">
      <alignment horizontal="center"/>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xf>
    <xf numFmtId="0" fontId="3" fillId="0" borderId="14" xfId="0" applyFont="1" applyBorder="1" applyAlignment="1">
      <alignment horizontal="left"/>
    </xf>
    <xf numFmtId="0" fontId="16" fillId="0" borderId="15" xfId="0" applyFont="1" applyBorder="1" applyAlignment="1">
      <alignment horizontal="center"/>
    </xf>
    <xf numFmtId="179" fontId="16" fillId="0" borderId="14" xfId="0" applyNumberFormat="1" applyFont="1" applyFill="1" applyBorder="1" applyAlignment="1">
      <alignment horizontal="center"/>
    </xf>
    <xf numFmtId="179" fontId="3" fillId="0" borderId="14" xfId="0" applyNumberFormat="1" applyFont="1" applyBorder="1" applyAlignment="1">
      <alignment horizontal="center"/>
    </xf>
    <xf numFmtId="2" fontId="16" fillId="0" borderId="14" xfId="0" applyNumberFormat="1" applyFont="1" applyBorder="1" applyAlignment="1">
      <alignment horizontal="center"/>
    </xf>
    <xf numFmtId="1" fontId="3" fillId="0" borderId="14" xfId="0" applyNumberFormat="1" applyFont="1" applyBorder="1" applyAlignment="1">
      <alignment horizontal="center"/>
    </xf>
    <xf numFmtId="1" fontId="16" fillId="0" borderId="15" xfId="0" applyNumberFormat="1" applyFont="1" applyFill="1" applyBorder="1" applyAlignment="1">
      <alignment horizontal="center"/>
    </xf>
    <xf numFmtId="179" fontId="19" fillId="0" borderId="14" xfId="0" applyNumberFormat="1" applyFont="1" applyBorder="1" applyAlignment="1">
      <alignment horizontal="center"/>
    </xf>
    <xf numFmtId="2" fontId="16" fillId="0" borderId="15" xfId="0" applyNumberFormat="1" applyFont="1" applyBorder="1" applyAlignment="1">
      <alignment horizontal="center"/>
    </xf>
    <xf numFmtId="179" fontId="17" fillId="0" borderId="0" xfId="0" applyNumberFormat="1" applyFont="1" applyFill="1" applyBorder="1" applyAlignment="1">
      <alignment horizontal="center"/>
    </xf>
    <xf numFmtId="179" fontId="3" fillId="0" borderId="0" xfId="0" applyNumberFormat="1" applyFont="1" applyBorder="1" applyAlignment="1">
      <alignment horizontal="center"/>
    </xf>
    <xf numFmtId="2" fontId="17" fillId="0" borderId="0" xfId="0" applyNumberFormat="1" applyFont="1" applyBorder="1" applyAlignment="1">
      <alignment horizontal="center"/>
    </xf>
    <xf numFmtId="1" fontId="29" fillId="0" borderId="0" xfId="0" applyNumberFormat="1" applyFont="1" applyFill="1" applyBorder="1" applyAlignment="1">
      <alignment horizontal="center"/>
    </xf>
    <xf numFmtId="179" fontId="17" fillId="0" borderId="0" xfId="0" applyNumberFormat="1" applyFont="1" applyBorder="1" applyAlignment="1">
      <alignment horizontal="center"/>
    </xf>
    <xf numFmtId="0" fontId="4" fillId="0" borderId="0" xfId="0" applyFont="1" applyFill="1" applyAlignment="1">
      <alignment horizontal="right"/>
    </xf>
    <xf numFmtId="1" fontId="4" fillId="0" borderId="0" xfId="0" applyNumberFormat="1" applyFont="1" applyAlignment="1">
      <alignment horizontal="left"/>
    </xf>
    <xf numFmtId="1" fontId="3" fillId="0" borderId="0" xfId="0" applyNumberFormat="1" applyFont="1" applyAlignment="1">
      <alignment horizontal="left"/>
    </xf>
    <xf numFmtId="0" fontId="3" fillId="0" borderId="0" xfId="0" applyNumberFormat="1" applyFont="1" applyBorder="1" applyAlignment="1">
      <alignment horizontal="center"/>
    </xf>
    <xf numFmtId="0" fontId="3" fillId="5" borderId="0" xfId="0" applyFont="1" applyFill="1" applyAlignment="1">
      <alignment/>
    </xf>
    <xf numFmtId="0" fontId="3" fillId="5" borderId="0" xfId="0" applyNumberFormat="1" applyFont="1" applyFill="1" applyBorder="1" applyAlignment="1">
      <alignment horizontal="center"/>
    </xf>
    <xf numFmtId="0" fontId="16" fillId="5" borderId="10" xfId="0" applyFont="1" applyFill="1" applyBorder="1" applyAlignment="1">
      <alignment horizontal="center"/>
    </xf>
    <xf numFmtId="179" fontId="16" fillId="5" borderId="0" xfId="0" applyNumberFormat="1" applyFont="1" applyFill="1" applyAlignment="1">
      <alignment horizontal="center"/>
    </xf>
    <xf numFmtId="179" fontId="3" fillId="5" borderId="0" xfId="0" applyNumberFormat="1" applyFont="1" applyFill="1" applyAlignment="1">
      <alignment horizontal="center"/>
    </xf>
    <xf numFmtId="2" fontId="16" fillId="5" borderId="0" xfId="0" applyNumberFormat="1" applyFont="1" applyFill="1" applyAlignment="1">
      <alignment horizontal="center"/>
    </xf>
    <xf numFmtId="1" fontId="3" fillId="5" borderId="0" xfId="0" applyNumberFormat="1" applyFont="1" applyFill="1" applyAlignment="1">
      <alignment horizontal="center"/>
    </xf>
    <xf numFmtId="1" fontId="19" fillId="5" borderId="10" xfId="0" applyNumberFormat="1" applyFont="1" applyFill="1" applyBorder="1" applyAlignment="1">
      <alignment horizontal="center"/>
    </xf>
    <xf numFmtId="179" fontId="19" fillId="5" borderId="0" xfId="0" applyNumberFormat="1" applyFont="1" applyFill="1" applyAlignment="1">
      <alignment horizontal="center"/>
    </xf>
    <xf numFmtId="2" fontId="16" fillId="5" borderId="10" xfId="0" applyNumberFormat="1" applyFont="1" applyFill="1" applyBorder="1" applyAlignment="1">
      <alignment horizontal="center"/>
    </xf>
    <xf numFmtId="49" fontId="3" fillId="5" borderId="0" xfId="0" applyNumberFormat="1" applyFont="1" applyFill="1" applyBorder="1" applyAlignment="1">
      <alignment horizontal="center"/>
    </xf>
    <xf numFmtId="0" fontId="4" fillId="0" borderId="0" xfId="0" applyNumberFormat="1" applyFont="1" applyAlignment="1">
      <alignment horizontal="center"/>
    </xf>
    <xf numFmtId="0" fontId="3" fillId="0" borderId="10" xfId="0" applyFont="1" applyBorder="1" applyAlignment="1">
      <alignment horizontal="center"/>
    </xf>
    <xf numFmtId="1" fontId="22" fillId="0" borderId="0" xfId="0" applyNumberFormat="1" applyFont="1" applyFill="1" applyAlignment="1">
      <alignment horizontal="center"/>
    </xf>
    <xf numFmtId="0" fontId="22" fillId="0" borderId="0" xfId="0" applyFont="1" applyFill="1" applyAlignment="1">
      <alignment/>
    </xf>
    <xf numFmtId="179" fontId="3" fillId="0" borderId="0" xfId="0" applyNumberFormat="1" applyFont="1" applyFill="1" applyAlignment="1">
      <alignment/>
    </xf>
    <xf numFmtId="0" fontId="29" fillId="0" borderId="0" xfId="0" applyNumberFormat="1" applyFont="1" applyFill="1" applyBorder="1" applyAlignment="1">
      <alignment horizontal="center"/>
    </xf>
    <xf numFmtId="0" fontId="3" fillId="5" borderId="0" xfId="0" applyFont="1" applyFill="1" applyAlignment="1">
      <alignment horizontal="center"/>
    </xf>
    <xf numFmtId="0" fontId="3" fillId="0" borderId="0" xfId="0" applyFont="1" applyAlignment="1">
      <alignment wrapText="1"/>
    </xf>
    <xf numFmtId="0" fontId="3" fillId="0" borderId="0" xfId="0" applyFont="1" applyAlignment="1">
      <alignment horizontal="center" wrapText="1"/>
    </xf>
    <xf numFmtId="49" fontId="0" fillId="0" borderId="0" xfId="0" applyNumberFormat="1" applyFont="1" applyBorder="1" applyAlignment="1">
      <alignment horizontal="center" wrapText="1"/>
    </xf>
    <xf numFmtId="0" fontId="16" fillId="0" borderId="10" xfId="0" applyFont="1" applyBorder="1" applyAlignment="1">
      <alignment horizontal="center" wrapText="1"/>
    </xf>
    <xf numFmtId="179" fontId="16" fillId="0" borderId="0" xfId="0" applyNumberFormat="1" applyFont="1" applyFill="1" applyAlignment="1">
      <alignment horizontal="center" wrapText="1"/>
    </xf>
    <xf numFmtId="179" fontId="3" fillId="0" borderId="0" xfId="0" applyNumberFormat="1" applyFont="1" applyAlignment="1">
      <alignment horizontal="center" wrapText="1"/>
    </xf>
    <xf numFmtId="2" fontId="16" fillId="0" borderId="0" xfId="0" applyNumberFormat="1" applyFont="1" applyAlignment="1">
      <alignment horizontal="center" wrapText="1"/>
    </xf>
    <xf numFmtId="1" fontId="3" fillId="0" borderId="0" xfId="0" applyNumberFormat="1" applyFont="1" applyAlignment="1">
      <alignment horizontal="center" wrapText="1"/>
    </xf>
    <xf numFmtId="1" fontId="19" fillId="0" borderId="10" xfId="0" applyNumberFormat="1" applyFont="1" applyFill="1" applyBorder="1" applyAlignment="1">
      <alignment horizontal="center" wrapText="1"/>
    </xf>
    <xf numFmtId="179" fontId="19" fillId="0" borderId="0" xfId="0" applyNumberFormat="1" applyFont="1" applyAlignment="1">
      <alignment horizontal="center" wrapText="1"/>
    </xf>
    <xf numFmtId="2" fontId="16" fillId="0" borderId="10" xfId="0" applyNumberFormat="1" applyFont="1" applyBorder="1" applyAlignment="1">
      <alignment horizontal="center" wrapText="1"/>
    </xf>
    <xf numFmtId="1" fontId="3" fillId="0" borderId="0" xfId="0" applyNumberFormat="1" applyFont="1" applyAlignment="1">
      <alignment/>
    </xf>
    <xf numFmtId="0" fontId="3" fillId="0" borderId="10" xfId="0" applyFont="1" applyFill="1" applyBorder="1" applyAlignment="1">
      <alignment horizontal="center"/>
    </xf>
    <xf numFmtId="49" fontId="0" fillId="0" borderId="0" xfId="0" applyNumberFormat="1" applyFont="1" applyFill="1" applyBorder="1" applyAlignment="1">
      <alignment horizontal="center" wrapText="1"/>
    </xf>
    <xf numFmtId="0" fontId="16" fillId="0" borderId="10" xfId="0" applyFont="1" applyFill="1" applyBorder="1" applyAlignment="1">
      <alignment horizontal="center" wrapText="1"/>
    </xf>
    <xf numFmtId="49" fontId="3" fillId="0" borderId="14" xfId="0" applyNumberFormat="1" applyFont="1" applyBorder="1" applyAlignment="1">
      <alignment horizontal="center"/>
    </xf>
    <xf numFmtId="1" fontId="19" fillId="0" borderId="15" xfId="0" applyNumberFormat="1" applyFont="1" applyFill="1" applyBorder="1" applyAlignment="1">
      <alignment horizontal="center"/>
    </xf>
    <xf numFmtId="49" fontId="4" fillId="0" borderId="0" xfId="0" applyNumberFormat="1" applyFont="1" applyBorder="1" applyAlignment="1">
      <alignment horizontal="center"/>
    </xf>
    <xf numFmtId="0" fontId="16" fillId="0" borderId="10" xfId="0" applyFont="1" applyBorder="1" applyAlignment="1">
      <alignment horizontal="left"/>
    </xf>
    <xf numFmtId="2" fontId="16" fillId="0" borderId="0" xfId="0" applyNumberFormat="1" applyFont="1" applyBorder="1" applyAlignment="1">
      <alignment horizontal="center"/>
    </xf>
    <xf numFmtId="179" fontId="16" fillId="0" borderId="0" xfId="0" applyNumberFormat="1" applyFont="1" applyBorder="1" applyAlignment="1">
      <alignment horizontal="center"/>
    </xf>
    <xf numFmtId="49" fontId="4" fillId="0" borderId="0" xfId="0" applyNumberFormat="1" applyFont="1" applyFill="1" applyBorder="1" applyAlignment="1">
      <alignment horizontal="center"/>
    </xf>
    <xf numFmtId="0" fontId="3" fillId="0" borderId="8" xfId="0" applyFont="1" applyBorder="1" applyAlignment="1">
      <alignment/>
    </xf>
    <xf numFmtId="0" fontId="3" fillId="0" borderId="0" xfId="0" applyNumberFormat="1" applyFont="1" applyBorder="1" applyAlignment="1">
      <alignment horizontal="center"/>
    </xf>
    <xf numFmtId="1" fontId="4"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179" fontId="4" fillId="0" borderId="0" xfId="0" applyNumberFormat="1" applyFont="1" applyFill="1" applyBorder="1" applyAlignment="1">
      <alignment horizontal="center"/>
    </xf>
    <xf numFmtId="0" fontId="3" fillId="0" borderId="10" xfId="0" applyFont="1" applyFill="1" applyBorder="1" applyAlignment="1">
      <alignment horizontal="left"/>
    </xf>
    <xf numFmtId="0" fontId="23" fillId="0" borderId="0" xfId="0" applyFont="1" applyFill="1" applyAlignment="1">
      <alignment/>
    </xf>
    <xf numFmtId="1" fontId="23" fillId="0" borderId="0" xfId="0" applyNumberFormat="1" applyFont="1" applyFill="1" applyAlignment="1">
      <alignment horizontal="center"/>
    </xf>
    <xf numFmtId="0" fontId="0" fillId="0" borderId="1" xfId="0" applyBorder="1" applyAlignment="1">
      <alignment/>
    </xf>
    <xf numFmtId="0" fontId="5" fillId="0" borderId="1" xfId="0" applyFont="1" applyBorder="1" applyAlignment="1">
      <alignment horizontal="center"/>
    </xf>
    <xf numFmtId="0" fontId="8" fillId="0" borderId="0" xfId="0" applyFont="1" applyAlignment="1">
      <alignment/>
    </xf>
    <xf numFmtId="0" fontId="8" fillId="0" borderId="0" xfId="0" applyFont="1" applyAlignment="1">
      <alignment horizontal="right"/>
    </xf>
    <xf numFmtId="0" fontId="8" fillId="0" borderId="0" xfId="0" applyFont="1" applyAlignment="1">
      <alignment horizontal="center"/>
    </xf>
    <xf numFmtId="15" fontId="0" fillId="0" borderId="0" xfId="0" applyNumberFormat="1" applyAlignment="1">
      <alignment horizontal="center"/>
    </xf>
    <xf numFmtId="20" fontId="0"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center"/>
    </xf>
    <xf numFmtId="0" fontId="0" fillId="0" borderId="14" xfId="0" applyFont="1" applyBorder="1" applyAlignment="1">
      <alignment horizontal="center"/>
    </xf>
    <xf numFmtId="0" fontId="0" fillId="0" borderId="14" xfId="0" applyBorder="1" applyAlignment="1">
      <alignment/>
    </xf>
    <xf numFmtId="0" fontId="0" fillId="0" borderId="14" xfId="0" applyFont="1" applyFill="1" applyBorder="1" applyAlignment="1">
      <alignment horizontal="center"/>
    </xf>
    <xf numFmtId="179" fontId="0" fillId="0" borderId="5" xfId="0" applyNumberFormat="1" applyBorder="1" applyAlignment="1">
      <alignment horizontal="center"/>
    </xf>
    <xf numFmtId="179" fontId="0" fillId="0" borderId="5" xfId="0" applyNumberFormat="1" applyBorder="1" applyAlignment="1">
      <alignment/>
    </xf>
    <xf numFmtId="0" fontId="37" fillId="0" borderId="0" xfId="0" applyFont="1" applyAlignment="1">
      <alignment horizontal="right"/>
    </xf>
    <xf numFmtId="0" fontId="7" fillId="0" borderId="0" xfId="0" applyFont="1" applyAlignment="1">
      <alignment horizontal="right"/>
    </xf>
    <xf numFmtId="179" fontId="0" fillId="0" borderId="5" xfId="0" applyNumberFormat="1" applyFont="1" applyBorder="1" applyAlignment="1">
      <alignment horizontal="center"/>
    </xf>
    <xf numFmtId="179" fontId="0" fillId="0" borderId="5" xfId="0" applyNumberFormat="1" applyFont="1" applyBorder="1" applyAlignment="1">
      <alignment horizontal="center"/>
    </xf>
    <xf numFmtId="179" fontId="0" fillId="0" borderId="7" xfId="0" applyNumberFormat="1" applyBorder="1" applyAlignment="1">
      <alignment/>
    </xf>
    <xf numFmtId="179" fontId="0" fillId="0" borderId="16" xfId="0" applyNumberFormat="1" applyBorder="1" applyAlignment="1">
      <alignment/>
    </xf>
    <xf numFmtId="179" fontId="0" fillId="0" borderId="17" xfId="0" applyNumberFormat="1" applyBorder="1" applyAlignment="1">
      <alignment/>
    </xf>
    <xf numFmtId="0" fontId="8" fillId="0" borderId="14" xfId="0" applyFont="1" applyBorder="1" applyAlignment="1">
      <alignment horizontal="center"/>
    </xf>
    <xf numFmtId="0" fontId="8" fillId="0" borderId="0" xfId="0" applyFont="1" applyBorder="1" applyAlignment="1">
      <alignment horizontal="center"/>
    </xf>
    <xf numFmtId="0" fontId="0" fillId="0" borderId="9" xfId="0" applyBorder="1" applyAlignment="1">
      <alignment/>
    </xf>
    <xf numFmtId="0" fontId="0" fillId="0" borderId="7" xfId="0" applyBorder="1" applyAlignment="1">
      <alignment horizontal="center"/>
    </xf>
    <xf numFmtId="0" fontId="0" fillId="0" borderId="7" xfId="0" applyBorder="1" applyAlignment="1">
      <alignment/>
    </xf>
    <xf numFmtId="0" fontId="0" fillId="0" borderId="18" xfId="0" applyBorder="1" applyAlignment="1">
      <alignment/>
    </xf>
    <xf numFmtId="0" fontId="0" fillId="0" borderId="17"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6" xfId="0" applyBorder="1" applyAlignment="1">
      <alignment/>
    </xf>
    <xf numFmtId="0" fontId="0" fillId="0" borderId="23" xfId="0" applyBorder="1" applyAlignment="1">
      <alignment/>
    </xf>
    <xf numFmtId="0" fontId="4" fillId="0" borderId="0" xfId="0" applyFont="1" applyAlignment="1">
      <alignment/>
    </xf>
    <xf numFmtId="185" fontId="3" fillId="0" borderId="0" xfId="0" applyNumberFormat="1" applyFont="1" applyAlignment="1">
      <alignment/>
    </xf>
    <xf numFmtId="0" fontId="0" fillId="0" borderId="0" xfId="0" applyFont="1" applyAlignment="1">
      <alignment/>
    </xf>
    <xf numFmtId="0" fontId="1" fillId="0" borderId="0" xfId="0" applyFont="1" applyAlignment="1">
      <alignment/>
    </xf>
    <xf numFmtId="0" fontId="7" fillId="0" borderId="0" xfId="0" applyFont="1" applyAlignment="1">
      <alignment horizontal="center"/>
    </xf>
    <xf numFmtId="0" fontId="22" fillId="0" borderId="0" xfId="0" applyFont="1" applyAlignment="1">
      <alignment/>
    </xf>
    <xf numFmtId="0" fontId="22" fillId="0" borderId="0" xfId="0" applyFont="1" applyAlignment="1">
      <alignment horizontal="center"/>
    </xf>
    <xf numFmtId="0" fontId="0" fillId="0" borderId="0" xfId="0" applyFont="1" applyAlignment="1">
      <alignment horizontal="right" vertical="top"/>
    </xf>
    <xf numFmtId="0" fontId="18" fillId="0" borderId="0" xfId="0" applyFont="1" applyAlignment="1">
      <alignment/>
    </xf>
    <xf numFmtId="178" fontId="5" fillId="0" borderId="0" xfId="0" applyNumberFormat="1" applyFont="1" applyAlignment="1">
      <alignment/>
    </xf>
    <xf numFmtId="178" fontId="0" fillId="0" borderId="0" xfId="0" applyNumberFormat="1" applyFont="1" applyAlignment="1">
      <alignment/>
    </xf>
    <xf numFmtId="176" fontId="5" fillId="0" borderId="0" xfId="0" applyNumberFormat="1" applyFont="1" applyAlignment="1">
      <alignment/>
    </xf>
    <xf numFmtId="0" fontId="5" fillId="0" borderId="0" xfId="0" applyFont="1" applyAlignment="1">
      <alignment/>
    </xf>
    <xf numFmtId="1" fontId="0" fillId="0" borderId="0" xfId="0" applyNumberFormat="1" applyFont="1" applyAlignment="1">
      <alignment/>
    </xf>
    <xf numFmtId="1" fontId="7" fillId="0" borderId="0" xfId="0" applyNumberFormat="1" applyFont="1" applyAlignment="1">
      <alignment/>
    </xf>
    <xf numFmtId="179" fontId="0" fillId="0" borderId="0" xfId="0" applyNumberFormat="1" applyFont="1" applyAlignment="1">
      <alignment/>
    </xf>
    <xf numFmtId="1" fontId="5" fillId="0" borderId="0" xfId="0" applyNumberFormat="1" applyFont="1" applyAlignment="1">
      <alignment/>
    </xf>
    <xf numFmtId="186" fontId="5" fillId="0" borderId="0" xfId="0" applyNumberFormat="1" applyFont="1" applyAlignment="1">
      <alignment/>
    </xf>
    <xf numFmtId="0" fontId="8" fillId="0" borderId="0" xfId="0" applyFont="1" applyAlignment="1">
      <alignment/>
    </xf>
    <xf numFmtId="1" fontId="38" fillId="0" borderId="0" xfId="0" applyNumberFormat="1" applyFont="1" applyAlignment="1">
      <alignment/>
    </xf>
    <xf numFmtId="0" fontId="37" fillId="0" borderId="0" xfId="0" applyFont="1" applyAlignment="1">
      <alignment/>
    </xf>
    <xf numFmtId="14" fontId="0" fillId="0" borderId="0" xfId="0" applyNumberFormat="1" applyAlignment="1">
      <alignment/>
    </xf>
    <xf numFmtId="14" fontId="16" fillId="0" borderId="0" xfId="0" applyNumberFormat="1" applyFont="1" applyAlignment="1">
      <alignment horizontal="left"/>
    </xf>
    <xf numFmtId="0" fontId="1" fillId="0" borderId="0" xfId="0" applyFont="1" applyAlignment="1">
      <alignment horizontal="left"/>
    </xf>
    <xf numFmtId="49" fontId="8" fillId="0" borderId="0" xfId="0" applyNumberFormat="1" applyFont="1" applyAlignment="1">
      <alignment/>
    </xf>
    <xf numFmtId="14" fontId="39" fillId="0" borderId="0" xfId="0" applyNumberFormat="1" applyFont="1" applyAlignment="1">
      <alignment/>
    </xf>
    <xf numFmtId="0" fontId="0" fillId="0" borderId="0" xfId="0" applyFont="1" applyBorder="1" applyAlignment="1">
      <alignment/>
    </xf>
    <xf numFmtId="0" fontId="39" fillId="0" borderId="0" xfId="0" applyFont="1" applyAlignment="1">
      <alignment horizontal="center"/>
    </xf>
    <xf numFmtId="186" fontId="0" fillId="0" borderId="0" xfId="0" applyNumberFormat="1" applyFont="1" applyAlignment="1">
      <alignment/>
    </xf>
    <xf numFmtId="14" fontId="39" fillId="0" borderId="0" xfId="0" applyNumberFormat="1" applyFont="1" applyAlignment="1">
      <alignment horizontal="center"/>
    </xf>
    <xf numFmtId="182" fontId="0" fillId="0" borderId="0" xfId="0" applyNumberFormat="1" applyFont="1" applyAlignment="1">
      <alignment/>
    </xf>
    <xf numFmtId="0" fontId="0" fillId="0" borderId="5" xfId="0" applyFont="1" applyBorder="1" applyAlignment="1">
      <alignment horizontal="center"/>
    </xf>
    <xf numFmtId="0" fontId="8" fillId="0" borderId="0" xfId="0" applyFont="1" applyBorder="1" applyAlignment="1">
      <alignment/>
    </xf>
    <xf numFmtId="178" fontId="5" fillId="0" borderId="5" xfId="0" applyNumberFormat="1" applyFont="1" applyBorder="1" applyAlignment="1">
      <alignment/>
    </xf>
    <xf numFmtId="0" fontId="0" fillId="0" borderId="0" xfId="0" applyFont="1" applyAlignment="1">
      <alignment/>
    </xf>
    <xf numFmtId="1" fontId="0" fillId="0" borderId="0" xfId="0" applyNumberFormat="1" applyFont="1" applyAlignment="1">
      <alignment horizontal="right"/>
    </xf>
    <xf numFmtId="0" fontId="8" fillId="0" borderId="24" xfId="0" applyFont="1" applyBorder="1" applyAlignment="1">
      <alignment/>
    </xf>
    <xf numFmtId="187" fontId="8" fillId="0" borderId="24" xfId="0" applyNumberFormat="1" applyFont="1" applyBorder="1" applyAlignment="1">
      <alignment/>
    </xf>
    <xf numFmtId="0" fontId="0" fillId="0" borderId="24" xfId="0" applyFont="1" applyBorder="1" applyAlignment="1">
      <alignment/>
    </xf>
    <xf numFmtId="0" fontId="0" fillId="0" borderId="5" xfId="0" applyFont="1" applyBorder="1" applyAlignment="1">
      <alignment/>
    </xf>
    <xf numFmtId="178" fontId="0" fillId="0" borderId="5" xfId="0" applyNumberFormat="1" applyBorder="1" applyAlignment="1">
      <alignment/>
    </xf>
    <xf numFmtId="1" fontId="0" fillId="0" borderId="5" xfId="0" applyNumberFormat="1" applyBorder="1" applyAlignment="1">
      <alignment/>
    </xf>
    <xf numFmtId="0" fontId="8" fillId="0" borderId="25" xfId="0" applyFont="1" applyFill="1" applyBorder="1" applyAlignment="1">
      <alignment/>
    </xf>
    <xf numFmtId="0" fontId="0" fillId="0" borderId="26" xfId="0" applyFont="1" applyFill="1" applyBorder="1" applyAlignment="1">
      <alignment/>
    </xf>
    <xf numFmtId="0" fontId="8" fillId="0" borderId="27" xfId="0" applyFont="1" applyFill="1" applyBorder="1" applyAlignment="1">
      <alignment/>
    </xf>
    <xf numFmtId="0" fontId="8" fillId="0" borderId="0" xfId="0" applyFont="1" applyFill="1" applyAlignment="1">
      <alignment/>
    </xf>
    <xf numFmtId="0" fontId="0" fillId="0" borderId="28" xfId="0" applyFont="1" applyFill="1" applyBorder="1" applyAlignment="1">
      <alignment/>
    </xf>
    <xf numFmtId="0" fontId="8" fillId="0" borderId="29" xfId="0" applyFont="1" applyFill="1" applyBorder="1" applyAlignment="1">
      <alignment/>
    </xf>
    <xf numFmtId="0" fontId="8" fillId="0" borderId="30" xfId="0" applyFont="1" applyFill="1" applyBorder="1" applyAlignment="1">
      <alignment/>
    </xf>
    <xf numFmtId="0" fontId="0" fillId="0" borderId="31" xfId="0" applyFont="1" applyFill="1" applyBorder="1" applyAlignment="1">
      <alignment/>
    </xf>
    <xf numFmtId="0" fontId="0" fillId="0" borderId="0" xfId="0" applyNumberFormat="1" applyAlignment="1">
      <alignment/>
    </xf>
    <xf numFmtId="179" fontId="0" fillId="0" borderId="0" xfId="0" applyNumberFormat="1" applyAlignment="1">
      <alignment/>
    </xf>
    <xf numFmtId="0" fontId="0" fillId="0" borderId="32" xfId="0" applyFont="1" applyFill="1" applyBorder="1" applyAlignment="1">
      <alignment/>
    </xf>
    <xf numFmtId="177" fontId="0" fillId="0" borderId="0" xfId="0" applyNumberFormat="1" applyFont="1" applyFill="1" applyAlignment="1">
      <alignment/>
    </xf>
    <xf numFmtId="177" fontId="0" fillId="0" borderId="28" xfId="0" applyNumberFormat="1" applyFont="1" applyFill="1" applyBorder="1" applyAlignment="1">
      <alignment/>
    </xf>
    <xf numFmtId="0" fontId="0" fillId="0" borderId="27" xfId="0" applyFont="1" applyFill="1" applyBorder="1" applyAlignment="1">
      <alignment/>
    </xf>
    <xf numFmtId="177" fontId="0" fillId="0" borderId="1" xfId="0" applyNumberFormat="1" applyFont="1" applyFill="1" applyBorder="1" applyAlignment="1">
      <alignment/>
    </xf>
    <xf numFmtId="177" fontId="0" fillId="0" borderId="33" xfId="0" applyNumberFormat="1" applyFont="1" applyFill="1" applyBorder="1" applyAlignment="1">
      <alignment/>
    </xf>
    <xf numFmtId="0" fontId="0" fillId="0" borderId="0" xfId="0" applyFont="1" applyFill="1" applyBorder="1" applyAlignment="1">
      <alignment/>
    </xf>
    <xf numFmtId="177" fontId="0" fillId="0" borderId="0" xfId="0" applyNumberFormat="1" applyFont="1" applyFill="1" applyBorder="1" applyAlignment="1">
      <alignment/>
    </xf>
    <xf numFmtId="0" fontId="8" fillId="0" borderId="14" xfId="0" applyFont="1" applyBorder="1" applyAlignment="1">
      <alignment/>
    </xf>
    <xf numFmtId="2" fontId="0" fillId="0" borderId="5" xfId="0" applyNumberFormat="1" applyFont="1" applyBorder="1" applyAlignment="1">
      <alignment/>
    </xf>
    <xf numFmtId="1" fontId="0" fillId="0" borderId="5" xfId="0" applyNumberFormat="1" applyFont="1" applyBorder="1" applyAlignment="1">
      <alignment/>
    </xf>
    <xf numFmtId="10" fontId="0" fillId="0" borderId="5" xfId="0" applyNumberFormat="1" applyFont="1" applyBorder="1" applyAlignment="1">
      <alignment/>
    </xf>
    <xf numFmtId="187" fontId="0" fillId="0" borderId="0" xfId="0" applyNumberFormat="1" applyAlignment="1">
      <alignment/>
    </xf>
    <xf numFmtId="0" fontId="5" fillId="6" borderId="31" xfId="0" applyFont="1" applyFill="1" applyBorder="1" applyAlignment="1">
      <alignment/>
    </xf>
    <xf numFmtId="0" fontId="0" fillId="0" borderId="34" xfId="0" applyFont="1" applyFill="1" applyBorder="1" applyAlignment="1">
      <alignment/>
    </xf>
    <xf numFmtId="0" fontId="8" fillId="0" borderId="1" xfId="0" applyFont="1" applyFill="1" applyBorder="1" applyAlignment="1">
      <alignment/>
    </xf>
    <xf numFmtId="0" fontId="0" fillId="0" borderId="1" xfId="0" applyFont="1" applyFill="1" applyBorder="1" applyAlignment="1">
      <alignment/>
    </xf>
    <xf numFmtId="0" fontId="0" fillId="0" borderId="33" xfId="0"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177" fontId="8" fillId="0" borderId="28" xfId="0" applyNumberFormat="1" applyFont="1" applyFill="1" applyBorder="1" applyAlignment="1">
      <alignment/>
    </xf>
    <xf numFmtId="0" fontId="8" fillId="0" borderId="0" xfId="0" applyFont="1" applyFill="1" applyBorder="1" applyAlignment="1">
      <alignment/>
    </xf>
    <xf numFmtId="177" fontId="8" fillId="0" borderId="26" xfId="0" applyNumberFormat="1" applyFont="1" applyFill="1" applyBorder="1" applyAlignment="1">
      <alignment/>
    </xf>
    <xf numFmtId="2" fontId="8" fillId="0" borderId="33" xfId="0" applyNumberFormat="1" applyFont="1" applyFill="1" applyBorder="1" applyAlignment="1">
      <alignment/>
    </xf>
    <xf numFmtId="0" fontId="40" fillId="0" borderId="0" xfId="0" applyFont="1" applyAlignment="1">
      <alignment/>
    </xf>
    <xf numFmtId="0" fontId="8" fillId="0" borderId="15" xfId="0" applyFont="1" applyBorder="1" applyAlignment="1">
      <alignment horizontal="center"/>
    </xf>
    <xf numFmtId="0" fontId="0" fillId="0" borderId="10" xfId="0" applyBorder="1" applyAlignment="1">
      <alignment horizontal="center"/>
    </xf>
    <xf numFmtId="0" fontId="0" fillId="0" borderId="0" xfId="0" applyFont="1" applyAlignment="1">
      <alignment wrapText="1"/>
    </xf>
    <xf numFmtId="0" fontId="8" fillId="0" borderId="10" xfId="0" applyFont="1" applyBorder="1" applyAlignment="1">
      <alignment horizontal="center"/>
    </xf>
    <xf numFmtId="0" fontId="8" fillId="0" borderId="14" xfId="0" applyFont="1" applyBorder="1" applyAlignment="1">
      <alignment horizontal="left"/>
    </xf>
    <xf numFmtId="0" fontId="1" fillId="0" borderId="14" xfId="0" applyFont="1" applyBorder="1" applyAlignment="1">
      <alignment horizontal="center"/>
    </xf>
    <xf numFmtId="49" fontId="1" fillId="0" borderId="14" xfId="15" applyNumberFormat="1" applyFont="1" applyFill="1" applyBorder="1" applyAlignment="1" applyProtection="1">
      <alignment horizontal="right"/>
      <protection/>
    </xf>
    <xf numFmtId="0" fontId="1" fillId="0" borderId="14" xfId="15" applyNumberFormat="1" applyFont="1" applyFill="1" applyBorder="1" applyAlignment="1" applyProtection="1">
      <alignment horizontal="left"/>
      <protection/>
    </xf>
    <xf numFmtId="0" fontId="0" fillId="0" borderId="14" xfId="0" applyFont="1" applyBorder="1" applyAlignment="1">
      <alignment/>
    </xf>
    <xf numFmtId="178" fontId="5" fillId="0" borderId="0" xfId="0" applyNumberFormat="1" applyFont="1" applyAlignment="1">
      <alignment horizontal="center"/>
    </xf>
    <xf numFmtId="0" fontId="0" fillId="0" borderId="0" xfId="0" applyFont="1" applyAlignment="1">
      <alignment horizontal="left"/>
    </xf>
    <xf numFmtId="1" fontId="0" fillId="0" borderId="0" xfId="0" applyNumberFormat="1" applyAlignment="1">
      <alignment horizontal="right"/>
    </xf>
    <xf numFmtId="0" fontId="5" fillId="0" borderId="0" xfId="0" applyFont="1" applyAlignment="1">
      <alignment horizontal="right"/>
    </xf>
    <xf numFmtId="49" fontId="0" fillId="0" borderId="0" xfId="0" applyNumberFormat="1" applyFont="1" applyAlignment="1">
      <alignment/>
    </xf>
    <xf numFmtId="188" fontId="0" fillId="0" borderId="0" xfId="0" applyNumberFormat="1" applyAlignment="1">
      <alignment/>
    </xf>
    <xf numFmtId="11" fontId="5" fillId="0" borderId="0" xfId="0" applyNumberFormat="1" applyFont="1" applyAlignment="1">
      <alignment/>
    </xf>
    <xf numFmtId="0" fontId="0" fillId="0" borderId="0" xfId="0" applyAlignment="1">
      <alignment horizontal="right"/>
    </xf>
    <xf numFmtId="14" fontId="5" fillId="0" borderId="0" xfId="0" applyNumberFormat="1" applyFont="1" applyBorder="1" applyAlignment="1">
      <alignment horizontal="center"/>
    </xf>
    <xf numFmtId="179" fontId="0" fillId="0" borderId="5" xfId="0" applyNumberFormat="1" applyFill="1" applyBorder="1" applyAlignment="1">
      <alignment horizontal="center"/>
    </xf>
    <xf numFmtId="179" fontId="17" fillId="0" borderId="0" xfId="0" applyNumberFormat="1" applyFont="1" applyFill="1" applyBorder="1" applyAlignment="1">
      <alignment horizontal="center"/>
    </xf>
    <xf numFmtId="0" fontId="19" fillId="0" borderId="35" xfId="0" applyFont="1" applyFill="1" applyBorder="1" applyAlignment="1">
      <alignment horizontal="center"/>
    </xf>
    <xf numFmtId="0" fontId="32" fillId="0" borderId="35" xfId="0" applyFont="1" applyFill="1" applyBorder="1" applyAlignment="1">
      <alignment horizontal="left" wrapText="1"/>
    </xf>
    <xf numFmtId="49" fontId="3" fillId="0" borderId="35" xfId="0" applyNumberFormat="1" applyFont="1" applyFill="1" applyBorder="1" applyAlignment="1">
      <alignment horizontal="center"/>
    </xf>
    <xf numFmtId="0" fontId="16" fillId="0" borderId="36" xfId="0" applyFont="1" applyFill="1" applyBorder="1" applyAlignment="1">
      <alignment horizontal="center"/>
    </xf>
    <xf numFmtId="179" fontId="16" fillId="0" borderId="35" xfId="0" applyNumberFormat="1" applyFont="1" applyFill="1" applyBorder="1" applyAlignment="1">
      <alignment horizontal="center"/>
    </xf>
    <xf numFmtId="179" fontId="3" fillId="0" borderId="35" xfId="0" applyNumberFormat="1" applyFont="1" applyFill="1" applyBorder="1" applyAlignment="1">
      <alignment horizontal="center"/>
    </xf>
    <xf numFmtId="2" fontId="16" fillId="0" borderId="35" xfId="0" applyNumberFormat="1" applyFont="1" applyFill="1" applyBorder="1" applyAlignment="1">
      <alignment horizontal="center"/>
    </xf>
    <xf numFmtId="1" fontId="3" fillId="0" borderId="35" xfId="0" applyNumberFormat="1" applyFont="1" applyFill="1" applyBorder="1" applyAlignment="1">
      <alignment horizontal="center"/>
    </xf>
    <xf numFmtId="179" fontId="19" fillId="0" borderId="36" xfId="0" applyNumberFormat="1" applyFont="1" applyFill="1" applyBorder="1" applyAlignment="1">
      <alignment horizontal="center"/>
    </xf>
    <xf numFmtId="179" fontId="19" fillId="0" borderId="35" xfId="0" applyNumberFormat="1" applyFont="1" applyFill="1" applyBorder="1" applyAlignment="1">
      <alignment horizontal="center"/>
    </xf>
    <xf numFmtId="2" fontId="16" fillId="0" borderId="36" xfId="0" applyNumberFormat="1" applyFont="1" applyFill="1" applyBorder="1" applyAlignment="1">
      <alignment horizontal="center"/>
    </xf>
    <xf numFmtId="0" fontId="29" fillId="0" borderId="0" xfId="0" applyFont="1" applyFill="1" applyAlignment="1">
      <alignment horizontal="center"/>
    </xf>
    <xf numFmtId="0" fontId="4" fillId="0" borderId="0" xfId="0" applyFont="1" applyFill="1" applyAlignment="1">
      <alignment horizontal="left" wrapText="1"/>
    </xf>
    <xf numFmtId="2" fontId="3" fillId="0" borderId="0" xfId="0" applyNumberFormat="1" applyFont="1" applyFill="1" applyBorder="1" applyAlignment="1">
      <alignment horizontal="center"/>
    </xf>
    <xf numFmtId="179" fontId="37" fillId="0" borderId="5" xfId="0" applyNumberFormat="1" applyFont="1" applyBorder="1" applyAlignment="1">
      <alignment horizontal="center"/>
    </xf>
    <xf numFmtId="179" fontId="37" fillId="0" borderId="37" xfId="0" applyNumberFormat="1" applyFont="1" applyBorder="1" applyAlignment="1">
      <alignment horizontal="center"/>
    </xf>
    <xf numFmtId="0" fontId="0" fillId="0" borderId="0" xfId="0" applyFont="1" applyBorder="1" applyAlignment="1">
      <alignment horizontal="center" vertical="center"/>
    </xf>
    <xf numFmtId="182" fontId="5" fillId="0" borderId="37" xfId="0" applyNumberFormat="1" applyFont="1" applyFill="1" applyBorder="1" applyAlignment="1">
      <alignment horizontal="center"/>
    </xf>
    <xf numFmtId="0" fontId="5" fillId="0" borderId="0" xfId="0" applyFont="1" applyFill="1" applyAlignment="1">
      <alignment horizontal="center"/>
    </xf>
    <xf numFmtId="182" fontId="5" fillId="0" borderId="5" xfId="0" applyNumberFormat="1" applyFont="1" applyFill="1" applyBorder="1" applyAlignment="1">
      <alignment horizontal="center"/>
    </xf>
    <xf numFmtId="182" fontId="5" fillId="0" borderId="7" xfId="0" applyNumberFormat="1" applyFont="1" applyFill="1" applyBorder="1" applyAlignment="1">
      <alignment horizontal="center"/>
    </xf>
    <xf numFmtId="0" fontId="5" fillId="0" borderId="0" xfId="0" applyFont="1" applyFill="1" applyAlignment="1">
      <alignment/>
    </xf>
    <xf numFmtId="179" fontId="0" fillId="0" borderId="5" xfId="0" applyNumberFormat="1" applyFont="1" applyFill="1" applyBorder="1" applyAlignment="1">
      <alignment horizontal="center"/>
    </xf>
    <xf numFmtId="177" fontId="0" fillId="7" borderId="5" xfId="0" applyNumberFormat="1" applyFont="1" applyFill="1" applyBorder="1" applyAlignment="1">
      <alignment horizontal="center"/>
    </xf>
    <xf numFmtId="1" fontId="5" fillId="0" borderId="0" xfId="0" applyNumberFormat="1" applyFont="1" applyFill="1" applyAlignment="1">
      <alignment horizontal="center"/>
    </xf>
    <xf numFmtId="0" fontId="37" fillId="0" borderId="0" xfId="0" applyFont="1" applyAlignment="1">
      <alignment horizontal="right" wrapText="1"/>
    </xf>
    <xf numFmtId="179" fontId="0" fillId="0" borderId="5" xfId="0" applyNumberFormat="1" applyFont="1" applyBorder="1" applyAlignment="1">
      <alignment horizontal="center" wrapText="1"/>
    </xf>
    <xf numFmtId="179" fontId="0" fillId="0" borderId="5" xfId="0" applyNumberFormat="1" applyFill="1" applyBorder="1" applyAlignment="1">
      <alignment horizontal="center" wrapText="1"/>
    </xf>
    <xf numFmtId="179" fontId="0" fillId="0" borderId="5" xfId="0" applyNumberFormat="1" applyBorder="1" applyAlignment="1">
      <alignment wrapText="1"/>
    </xf>
    <xf numFmtId="0" fontId="0" fillId="0" borderId="0" xfId="0" applyAlignment="1">
      <alignment wrapText="1"/>
    </xf>
    <xf numFmtId="179" fontId="0" fillId="0" borderId="13" xfId="0" applyNumberFormat="1" applyBorder="1" applyAlignment="1">
      <alignment wrapText="1"/>
    </xf>
    <xf numFmtId="179" fontId="0" fillId="0" borderId="9" xfId="0" applyNumberFormat="1" applyBorder="1" applyAlignment="1">
      <alignment wrapText="1"/>
    </xf>
    <xf numFmtId="179" fontId="0" fillId="0" borderId="37" xfId="0" applyNumberFormat="1" applyBorder="1" applyAlignment="1">
      <alignment/>
    </xf>
    <xf numFmtId="0" fontId="0" fillId="0" borderId="38" xfId="0" applyBorder="1" applyAlignment="1">
      <alignment wrapText="1"/>
    </xf>
    <xf numFmtId="0" fontId="0" fillId="0" borderId="9" xfId="0" applyBorder="1" applyAlignment="1">
      <alignment horizontal="center"/>
    </xf>
    <xf numFmtId="179" fontId="0" fillId="0" borderId="7" xfId="0" applyNumberFormat="1" applyBorder="1" applyAlignment="1">
      <alignment horizontal="center"/>
    </xf>
    <xf numFmtId="0" fontId="0" fillId="0" borderId="38" xfId="0" applyFont="1" applyFill="1" applyBorder="1" applyAlignment="1">
      <alignment horizontal="center"/>
    </xf>
    <xf numFmtId="190" fontId="4" fillId="0" borderId="0" xfId="0" applyNumberFormat="1" applyFont="1" applyAlignment="1">
      <alignment horizontal="left"/>
    </xf>
    <xf numFmtId="190" fontId="4" fillId="0" borderId="0" xfId="0" applyNumberFormat="1" applyFont="1" applyAlignment="1">
      <alignment horizontal="center"/>
    </xf>
    <xf numFmtId="190" fontId="8" fillId="0" borderId="0" xfId="0" applyNumberFormat="1" applyFont="1" applyAlignment="1">
      <alignment horizontal="center"/>
    </xf>
    <xf numFmtId="190" fontId="0" fillId="0" borderId="0" xfId="0" applyNumberFormat="1" applyAlignment="1">
      <alignment horizontal="center"/>
    </xf>
    <xf numFmtId="0" fontId="0" fillId="0" borderId="37" xfId="0" applyFont="1" applyBorder="1" applyAlignment="1">
      <alignment horizontal="center" vertical="center"/>
    </xf>
    <xf numFmtId="0" fontId="0" fillId="0" borderId="5" xfId="0" applyFont="1" applyBorder="1" applyAlignment="1">
      <alignment horizontal="center" vertical="center"/>
    </xf>
    <xf numFmtId="0" fontId="39" fillId="6" borderId="29" xfId="0" applyFont="1" applyFill="1" applyBorder="1" applyAlignment="1">
      <alignment/>
    </xf>
    <xf numFmtId="0" fontId="8" fillId="0" borderId="25" xfId="0" applyFont="1" applyFill="1" applyBorder="1" applyAlignment="1">
      <alignment/>
    </xf>
    <xf numFmtId="0" fontId="8" fillId="0" borderId="27" xfId="0" applyFont="1" applyFill="1" applyBorder="1" applyAlignment="1">
      <alignment/>
    </xf>
    <xf numFmtId="0" fontId="0" fillId="0" borderId="0" xfId="0" applyFont="1" applyBorder="1" applyAlignment="1">
      <alignment/>
    </xf>
    <xf numFmtId="0" fontId="8" fillId="0" borderId="14" xfId="0" applyFont="1" applyBorder="1" applyAlignment="1">
      <alignment/>
    </xf>
    <xf numFmtId="0" fontId="0" fillId="0" borderId="5" xfId="0" applyFont="1" applyBorder="1" applyAlignment="1">
      <alignment horizontal="center"/>
    </xf>
    <xf numFmtId="0" fontId="0" fillId="0" borderId="14" xfId="0" applyFont="1" applyBorder="1" applyAlignment="1">
      <alignment/>
    </xf>
    <xf numFmtId="191" fontId="8" fillId="0" borderId="0" xfId="0" applyNumberFormat="1" applyFont="1" applyAlignment="1">
      <alignment/>
    </xf>
    <xf numFmtId="0" fontId="44" fillId="0" borderId="0" xfId="0" applyFont="1" applyAlignment="1">
      <alignment/>
    </xf>
    <xf numFmtId="191" fontId="0" fillId="0" borderId="0" xfId="0" applyNumberFormat="1" applyAlignment="1">
      <alignment/>
    </xf>
  </cellXfs>
  <cellStyles count="7">
    <cellStyle name="Normal" xfId="0"/>
    <cellStyle name="Comma" xfId="15"/>
    <cellStyle name="Comma [0]" xfId="16"/>
    <cellStyle name="Comma_Sheet1"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70"/>
  <sheetViews>
    <sheetView workbookViewId="0" topLeftCell="A1">
      <selection activeCell="B157" sqref="B157"/>
    </sheetView>
  </sheetViews>
  <sheetFormatPr defaultColWidth="9.140625" defaultRowHeight="12.75"/>
  <cols>
    <col min="1" max="1" width="28.28125" style="0" customWidth="1"/>
    <col min="2" max="2" width="21.421875" style="1" customWidth="1"/>
    <col min="3" max="3" width="20.00390625" style="0" customWidth="1"/>
    <col min="4" max="4" width="18.7109375" style="1" customWidth="1"/>
    <col min="5" max="5" width="11.8515625" style="0" customWidth="1"/>
    <col min="6" max="16384" width="8.8515625" style="0" customWidth="1"/>
  </cols>
  <sheetData>
    <row r="1" spans="1:4" ht="18">
      <c r="A1" s="2" t="s">
        <v>0</v>
      </c>
      <c r="B1" s="3"/>
      <c r="C1" s="4" t="s">
        <v>1</v>
      </c>
      <c r="D1" s="5">
        <v>147</v>
      </c>
    </row>
    <row r="2" spans="1:4" s="8" customFormat="1" ht="15.75">
      <c r="A2" s="6" t="s">
        <v>2</v>
      </c>
      <c r="B2" s="7">
        <f ca="1">NOW()</f>
        <v>39948.64635497685</v>
      </c>
      <c r="D2" s="1" t="s">
        <v>3</v>
      </c>
    </row>
    <row r="3" spans="1:4" s="8" customFormat="1" ht="15.75">
      <c r="A3" s="6" t="s">
        <v>4</v>
      </c>
      <c r="B3" s="9">
        <f ca="1">NOW()</f>
        <v>39948.64635497685</v>
      </c>
      <c r="D3" s="10"/>
    </row>
    <row r="4" spans="1:2" ht="12.75">
      <c r="A4" s="11" t="s">
        <v>5</v>
      </c>
      <c r="B4" s="12" t="s">
        <v>873</v>
      </c>
    </row>
    <row r="5" spans="1:2" ht="15">
      <c r="A5" s="6" t="s">
        <v>6</v>
      </c>
      <c r="B5" s="13"/>
    </row>
    <row r="6" spans="1:2" ht="15">
      <c r="A6" s="6"/>
      <c r="B6" s="13"/>
    </row>
    <row r="7" ht="12.75">
      <c r="B7" s="13"/>
    </row>
    <row r="8" spans="1:5" ht="18">
      <c r="A8" s="14" t="s">
        <v>7</v>
      </c>
      <c r="B8" s="15"/>
      <c r="C8" s="16" t="s">
        <v>8</v>
      </c>
      <c r="D8" s="17">
        <v>39432</v>
      </c>
      <c r="E8" s="18"/>
    </row>
    <row r="9" ht="12.75">
      <c r="C9" s="11" t="s">
        <v>9</v>
      </c>
    </row>
    <row r="10" ht="12.75">
      <c r="C10" s="11"/>
    </row>
    <row r="11" spans="2:4" ht="12.75">
      <c r="B11" s="11" t="s">
        <v>10</v>
      </c>
      <c r="C11" s="19">
        <v>25</v>
      </c>
      <c r="D11" t="s">
        <v>11</v>
      </c>
    </row>
    <row r="12" spans="1:4" ht="12.75">
      <c r="A12" s="20"/>
      <c r="B12" s="20" t="s">
        <v>12</v>
      </c>
      <c r="C12" s="20" t="s">
        <v>13</v>
      </c>
      <c r="D12" s="20" t="s">
        <v>14</v>
      </c>
    </row>
    <row r="13" spans="1:4" ht="12.75">
      <c r="A13" s="21" t="s">
        <v>15</v>
      </c>
      <c r="B13" s="22">
        <v>460</v>
      </c>
      <c r="C13" s="23">
        <f>B13+C$11</f>
        <v>485</v>
      </c>
      <c r="D13" s="24">
        <f>(C13-C16)*B18</f>
        <v>-11.410278450449796</v>
      </c>
    </row>
    <row r="14" spans="1:4" ht="12.75">
      <c r="A14" s="21" t="s">
        <v>16</v>
      </c>
      <c r="B14" s="22">
        <v>3782</v>
      </c>
      <c r="C14" s="23">
        <f>B14-C$11</f>
        <v>3757</v>
      </c>
      <c r="D14" s="24">
        <f>(C14-C16)*B18</f>
        <v>3.640921549550203</v>
      </c>
    </row>
    <row r="15" spans="1:4" ht="12.75">
      <c r="A15" s="21" t="s">
        <v>17</v>
      </c>
      <c r="B15" s="25"/>
      <c r="C15" s="25"/>
      <c r="D15" s="24">
        <f>D14-D13</f>
        <v>15.0512</v>
      </c>
    </row>
    <row r="16" spans="1:4" ht="12.75">
      <c r="A16" s="21" t="s">
        <v>18</v>
      </c>
      <c r="B16" s="26" t="s">
        <v>19</v>
      </c>
      <c r="C16" s="27">
        <f>Trim!E26</f>
        <v>2965.4953153151732</v>
      </c>
      <c r="D16" s="28">
        <f>(C16-C16)*B19</f>
        <v>0</v>
      </c>
    </row>
    <row r="17" spans="1:4" ht="12.75">
      <c r="A17" s="11"/>
      <c r="D17" s="1" t="s">
        <v>20</v>
      </c>
    </row>
    <row r="18" spans="1:4" ht="12.75">
      <c r="A18" s="21" t="s">
        <v>21</v>
      </c>
      <c r="B18" s="29">
        <v>0.0046</v>
      </c>
      <c r="C18" t="s">
        <v>22</v>
      </c>
      <c r="D18" s="13" t="s">
        <v>23</v>
      </c>
    </row>
    <row r="19" spans="1:4" ht="12.75">
      <c r="A19" s="11" t="s">
        <v>24</v>
      </c>
      <c r="B19" s="30">
        <v>217.39</v>
      </c>
      <c r="C19" t="s">
        <v>25</v>
      </c>
      <c r="D19" s="13"/>
    </row>
    <row r="20" spans="1:4" ht="12.75">
      <c r="A20" s="11" t="s">
        <v>26</v>
      </c>
      <c r="B20" s="13" t="s">
        <v>27</v>
      </c>
      <c r="D20" s="13"/>
    </row>
    <row r="21" spans="1:4" ht="12.75">
      <c r="A21" s="11"/>
      <c r="B21" s="13" t="s">
        <v>28</v>
      </c>
      <c r="D21" s="13"/>
    </row>
    <row r="22" spans="1:2" ht="12.75">
      <c r="A22" s="11"/>
      <c r="B22" s="31"/>
    </row>
    <row r="23" spans="1:4" ht="18">
      <c r="A23" s="14" t="s">
        <v>29</v>
      </c>
      <c r="B23" s="15"/>
      <c r="C23" s="16" t="s">
        <v>8</v>
      </c>
      <c r="D23" s="17">
        <v>39479</v>
      </c>
    </row>
    <row r="24" spans="3:5" ht="12.75">
      <c r="C24" s="11" t="s">
        <v>9</v>
      </c>
      <c r="D24" s="1" t="s">
        <v>883</v>
      </c>
      <c r="E24" s="18"/>
    </row>
    <row r="26" spans="2:4" ht="12.75">
      <c r="B26" s="11" t="s">
        <v>10</v>
      </c>
      <c r="C26" s="32">
        <v>150</v>
      </c>
      <c r="D26" t="s">
        <v>11</v>
      </c>
    </row>
    <row r="27" spans="1:4" ht="12.75">
      <c r="A27" s="20"/>
      <c r="B27" s="20" t="s">
        <v>12</v>
      </c>
      <c r="C27" s="20" t="s">
        <v>13</v>
      </c>
      <c r="D27" s="20" t="s">
        <v>30</v>
      </c>
    </row>
    <row r="28" spans="1:4" ht="12.75">
      <c r="A28" s="21" t="s">
        <v>31</v>
      </c>
      <c r="B28" s="22">
        <v>10</v>
      </c>
      <c r="C28" s="23">
        <f>B28+C$26</f>
        <v>160</v>
      </c>
      <c r="D28" s="24">
        <f>(C28-C30)*B33</f>
        <v>-61.23282</v>
      </c>
    </row>
    <row r="29" spans="1:4" ht="12.75">
      <c r="A29" s="21" t="s">
        <v>32</v>
      </c>
      <c r="B29" s="22">
        <v>4091</v>
      </c>
      <c r="C29" s="23">
        <f>B29-C$26</f>
        <v>3941</v>
      </c>
      <c r="D29" s="24">
        <f>(C29-C30)*B33</f>
        <v>45.65605</v>
      </c>
    </row>
    <row r="30" spans="1:4" ht="12.75">
      <c r="A30" s="21" t="s">
        <v>33</v>
      </c>
      <c r="B30" s="20"/>
      <c r="C30" s="33">
        <v>2326</v>
      </c>
      <c r="D30" s="18" t="s">
        <v>34</v>
      </c>
    </row>
    <row r="31" spans="1:4" ht="12.75">
      <c r="A31" s="21" t="s">
        <v>35</v>
      </c>
      <c r="B31" s="34"/>
      <c r="C31" s="35">
        <v>2326</v>
      </c>
      <c r="D31" s="18" t="s">
        <v>36</v>
      </c>
    </row>
    <row r="32" ht="12.75">
      <c r="A32" s="11"/>
    </row>
    <row r="33" spans="1:4" ht="12.75">
      <c r="A33" s="21" t="s">
        <v>21</v>
      </c>
      <c r="B33" s="29">
        <v>0.02827</v>
      </c>
      <c r="C33" t="s">
        <v>37</v>
      </c>
      <c r="D33" s="13" t="s">
        <v>38</v>
      </c>
    </row>
    <row r="34" spans="1:4" ht="12.75">
      <c r="A34" s="11" t="s">
        <v>24</v>
      </c>
      <c r="B34" s="29">
        <v>35.37</v>
      </c>
      <c r="C34" t="s">
        <v>39</v>
      </c>
      <c r="D34" s="13"/>
    </row>
    <row r="35" spans="1:4" ht="12.75">
      <c r="A35" s="11" t="s">
        <v>40</v>
      </c>
      <c r="B35" s="13" t="s">
        <v>41</v>
      </c>
      <c r="D35" s="13"/>
    </row>
    <row r="37" spans="1:4" ht="18">
      <c r="A37" s="14" t="s">
        <v>42</v>
      </c>
      <c r="B37" s="15"/>
      <c r="C37" s="16" t="s">
        <v>8</v>
      </c>
      <c r="D37" s="17">
        <v>39414</v>
      </c>
    </row>
    <row r="38" spans="3:5" ht="12.75">
      <c r="C38" s="11" t="s">
        <v>9</v>
      </c>
      <c r="E38" s="18"/>
    </row>
    <row r="39" spans="1:3" ht="12.75">
      <c r="A39" s="11" t="s">
        <v>43</v>
      </c>
      <c r="B39" s="36">
        <v>8</v>
      </c>
      <c r="C39" t="s">
        <v>882</v>
      </c>
    </row>
    <row r="40" spans="1:4" ht="12.75">
      <c r="A40" s="11" t="s">
        <v>44</v>
      </c>
      <c r="B40" s="37">
        <v>1344859</v>
      </c>
      <c r="D40" s="13"/>
    </row>
    <row r="41" spans="2:4" ht="12.75">
      <c r="B41" s="11" t="s">
        <v>10</v>
      </c>
      <c r="C41" s="32">
        <v>100</v>
      </c>
      <c r="D41" t="s">
        <v>11</v>
      </c>
    </row>
    <row r="42" spans="1:4" ht="12.75">
      <c r="A42" s="20"/>
      <c r="B42" s="20" t="s">
        <v>12</v>
      </c>
      <c r="C42" s="20" t="s">
        <v>13</v>
      </c>
      <c r="D42" s="20" t="s">
        <v>45</v>
      </c>
    </row>
    <row r="43" spans="1:4" ht="12.75">
      <c r="A43" s="21" t="s">
        <v>46</v>
      </c>
      <c r="B43" s="22">
        <v>377</v>
      </c>
      <c r="C43" s="38">
        <f>B43+C$41</f>
        <v>477</v>
      </c>
      <c r="D43" s="23">
        <f>(C43-C46)*B48</f>
        <v>552.198580992</v>
      </c>
    </row>
    <row r="44" spans="1:5" ht="12.75">
      <c r="A44" s="21" t="s">
        <v>47</v>
      </c>
      <c r="B44" s="22">
        <v>4051</v>
      </c>
      <c r="C44" s="38">
        <f>B44-C41</f>
        <v>3951</v>
      </c>
      <c r="D44" s="23">
        <f>(C44-C46)*B48</f>
        <v>-299.95972300799997</v>
      </c>
      <c r="E44" s="39"/>
    </row>
    <row r="45" spans="1:5" ht="12.75">
      <c r="A45" s="21" t="s">
        <v>48</v>
      </c>
      <c r="B45" s="25"/>
      <c r="C45" s="40"/>
      <c r="D45" s="23">
        <f>D43-D44</f>
        <v>852.1583039999999</v>
      </c>
      <c r="E45" s="39"/>
    </row>
    <row r="46" spans="1:5" ht="12.75">
      <c r="A46" s="21" t="s">
        <v>49</v>
      </c>
      <c r="B46" s="20" t="s">
        <v>50</v>
      </c>
      <c r="C46" s="41">
        <f>Trim!E19</f>
        <v>2728.152</v>
      </c>
      <c r="D46" s="20" t="s">
        <v>51</v>
      </c>
      <c r="E46" s="39"/>
    </row>
    <row r="47" ht="12.75">
      <c r="B47" s="42"/>
    </row>
    <row r="48" spans="1:4" ht="12.75">
      <c r="A48" s="21" t="s">
        <v>21</v>
      </c>
      <c r="B48" s="43">
        <v>-0.245296</v>
      </c>
      <c r="C48" t="s">
        <v>52</v>
      </c>
      <c r="D48" s="13" t="s">
        <v>53</v>
      </c>
    </row>
    <row r="49" spans="1:4" ht="12.75">
      <c r="A49" s="11" t="s">
        <v>24</v>
      </c>
      <c r="B49" s="44">
        <f>1/B48</f>
        <v>-4.076707325027722</v>
      </c>
      <c r="C49" t="s">
        <v>54</v>
      </c>
      <c r="D49" s="13"/>
    </row>
    <row r="50" spans="1:4" ht="12.75">
      <c r="A50" s="11" t="s">
        <v>55</v>
      </c>
      <c r="B50" s="13" t="s">
        <v>56</v>
      </c>
      <c r="D50" s="13"/>
    </row>
    <row r="51" spans="1:4" ht="12.75">
      <c r="A51" s="11"/>
      <c r="B51" s="11" t="s">
        <v>57</v>
      </c>
      <c r="D51" s="13"/>
    </row>
    <row r="53" spans="1:4" ht="18">
      <c r="A53" s="14" t="s">
        <v>58</v>
      </c>
      <c r="B53" s="15"/>
      <c r="C53" s="16" t="s">
        <v>8</v>
      </c>
      <c r="D53" s="45">
        <f>'Pres cal'!D1</f>
        <v>39478</v>
      </c>
    </row>
    <row r="54" spans="1:5" ht="12.75">
      <c r="A54" s="46" t="s">
        <v>59</v>
      </c>
      <c r="C54" s="11" t="s">
        <v>9</v>
      </c>
      <c r="E54" s="18"/>
    </row>
    <row r="55" ht="12.75">
      <c r="B55" s="1" t="s">
        <v>60</v>
      </c>
    </row>
    <row r="56" spans="1:4" ht="12.75">
      <c r="A56" s="11" t="s">
        <v>61</v>
      </c>
      <c r="B56" s="47" t="str">
        <f>'Pres cal'!B3</f>
        <v>Paine</v>
      </c>
      <c r="C56" s="18"/>
      <c r="D56" s="26"/>
    </row>
    <row r="57" spans="1:3" ht="12.75">
      <c r="A57" s="11" t="s">
        <v>62</v>
      </c>
      <c r="B57" s="47" t="str">
        <f>'Pres cal'!B4</f>
        <v>211-75-710-05</v>
      </c>
      <c r="C57" s="18"/>
    </row>
    <row r="58" spans="1:4" ht="12.75">
      <c r="A58" s="48" t="s">
        <v>63</v>
      </c>
      <c r="B58" s="47">
        <v>214718</v>
      </c>
      <c r="C58" s="18"/>
      <c r="D58" s="11"/>
    </row>
    <row r="59" spans="1:3" ht="12.75">
      <c r="A59" s="48" t="s">
        <v>64</v>
      </c>
      <c r="B59" s="47">
        <f>'Pres cal'!B6</f>
        <v>39360</v>
      </c>
      <c r="C59" s="18"/>
    </row>
    <row r="60" spans="1:4" ht="12.75">
      <c r="A60" s="11" t="s">
        <v>65</v>
      </c>
      <c r="B60" s="49">
        <f>'Pres cal'!B7</f>
        <v>128</v>
      </c>
      <c r="C60" s="50"/>
      <c r="D60" s="51" t="s">
        <v>66</v>
      </c>
    </row>
    <row r="61" spans="1:2" ht="12.75">
      <c r="A61" s="21" t="s">
        <v>67</v>
      </c>
      <c r="B61" s="47">
        <f>'Pres cal'!B8</f>
        <v>14.7</v>
      </c>
    </row>
    <row r="62" spans="1:3" ht="12.75">
      <c r="A62" s="11" t="s">
        <v>68</v>
      </c>
      <c r="B62" s="47">
        <f>'Pres cal'!B9</f>
        <v>0</v>
      </c>
      <c r="C62" s="52" t="s">
        <v>69</v>
      </c>
    </row>
    <row r="63" spans="1:3" ht="12.75">
      <c r="A63" s="11" t="s">
        <v>70</v>
      </c>
      <c r="B63" s="645">
        <f>'Pres cal'!I56</f>
        <v>0.00011614798142595484</v>
      </c>
      <c r="C63" s="54" t="s">
        <v>71</v>
      </c>
    </row>
    <row r="64" spans="1:4" ht="12.75">
      <c r="A64" s="21" t="s">
        <v>72</v>
      </c>
      <c r="B64" s="53">
        <f>'Pres cal'!I58</f>
        <v>-16.647879784948522</v>
      </c>
      <c r="C64" s="55" t="s">
        <v>73</v>
      </c>
      <c r="D64"/>
    </row>
    <row r="65" spans="1:4" ht="12.75">
      <c r="A65" s="21" t="s">
        <v>74</v>
      </c>
      <c r="B65" s="56">
        <f>B64*0.685</f>
        <v>-11.403797652689738</v>
      </c>
      <c r="C65" s="52" t="s">
        <v>75</v>
      </c>
      <c r="D65"/>
    </row>
    <row r="66" spans="2:4" ht="12.75">
      <c r="B66" s="57" t="s">
        <v>76</v>
      </c>
      <c r="C66" s="58" t="s">
        <v>77</v>
      </c>
      <c r="D66"/>
    </row>
    <row r="67" spans="1:4" ht="18">
      <c r="A67" s="14" t="s">
        <v>78</v>
      </c>
      <c r="B67" s="59"/>
      <c r="C67" s="16" t="s">
        <v>8</v>
      </c>
      <c r="D67" s="17">
        <v>39500</v>
      </c>
    </row>
    <row r="68" spans="1:4" ht="12.75">
      <c r="A68" s="66" t="s">
        <v>906</v>
      </c>
      <c r="B68" s="61">
        <v>13.39</v>
      </c>
      <c r="C68" s="11" t="s">
        <v>907</v>
      </c>
      <c r="D68" s="34">
        <v>8.32</v>
      </c>
    </row>
    <row r="69" ht="12.75">
      <c r="D69" s="60"/>
    </row>
    <row r="70" spans="1:4" ht="18">
      <c r="A70" s="14" t="s">
        <v>79</v>
      </c>
      <c r="B70" s="15"/>
      <c r="C70" s="16" t="s">
        <v>8</v>
      </c>
      <c r="D70" s="17">
        <v>39478</v>
      </c>
    </row>
    <row r="71" spans="2:5" ht="12.75">
      <c r="B71" s="13"/>
      <c r="C71" s="11" t="s">
        <v>9</v>
      </c>
      <c r="E71" s="18"/>
    </row>
    <row r="72" spans="1:2" ht="12.75">
      <c r="A72" s="11" t="s">
        <v>80</v>
      </c>
      <c r="B72" s="37" t="s">
        <v>81</v>
      </c>
    </row>
    <row r="73" spans="1:2" ht="12.75">
      <c r="A73" s="11" t="s">
        <v>82</v>
      </c>
      <c r="B73" s="37" t="s">
        <v>83</v>
      </c>
    </row>
    <row r="74" spans="1:2" ht="12.75">
      <c r="A74" s="11" t="s">
        <v>84</v>
      </c>
      <c r="B74" s="61" t="s">
        <v>908</v>
      </c>
    </row>
    <row r="75" spans="1:2" ht="12.75">
      <c r="A75" s="11" t="s">
        <v>85</v>
      </c>
      <c r="B75" s="61">
        <v>7.4</v>
      </c>
    </row>
    <row r="76" spans="1:2" ht="12.75">
      <c r="A76" s="11" t="s">
        <v>86</v>
      </c>
      <c r="B76" s="61" t="s">
        <v>87</v>
      </c>
    </row>
    <row r="77" spans="1:4" ht="12.75">
      <c r="A77" s="62" t="s">
        <v>88</v>
      </c>
      <c r="B77" s="63">
        <v>39472</v>
      </c>
      <c r="C77" s="64"/>
      <c r="D77" s="65"/>
    </row>
    <row r="78" spans="1:8" ht="12.75">
      <c r="A78" s="62" t="s">
        <v>89</v>
      </c>
      <c r="B78" s="63">
        <v>39479</v>
      </c>
      <c r="C78" s="64"/>
      <c r="D78" s="65"/>
      <c r="E78" s="64"/>
      <c r="F78" s="64"/>
      <c r="G78" s="64"/>
      <c r="H78" s="64"/>
    </row>
    <row r="79" spans="1:4" s="64" customFormat="1" ht="12.75">
      <c r="A79" s="11"/>
      <c r="B79" s="1"/>
      <c r="C79"/>
      <c r="D79" s="1"/>
    </row>
    <row r="80" spans="1:4" ht="18">
      <c r="A80" s="14" t="s">
        <v>90</v>
      </c>
      <c r="B80" s="15"/>
      <c r="C80" s="16" t="s">
        <v>8</v>
      </c>
      <c r="D80" s="17">
        <v>39478</v>
      </c>
    </row>
    <row r="81" spans="3:5" ht="12.75">
      <c r="C81" s="11" t="s">
        <v>9</v>
      </c>
      <c r="E81" s="18"/>
    </row>
    <row r="82" spans="1:3" ht="12.75">
      <c r="A82" s="66" t="s">
        <v>62</v>
      </c>
      <c r="B82" s="37">
        <v>52290</v>
      </c>
      <c r="C82" s="1" t="s">
        <v>91</v>
      </c>
    </row>
    <row r="83" spans="1:2" ht="12.75">
      <c r="A83" s="11" t="s">
        <v>92</v>
      </c>
      <c r="B83" s="61" t="s">
        <v>93</v>
      </c>
    </row>
    <row r="84" spans="1:2" ht="12.75">
      <c r="A84" s="11" t="s">
        <v>94</v>
      </c>
      <c r="B84" s="67" t="s">
        <v>909</v>
      </c>
    </row>
    <row r="85" spans="1:3" ht="12.75">
      <c r="A85" s="11" t="s">
        <v>95</v>
      </c>
      <c r="B85" s="61" t="s">
        <v>96</v>
      </c>
      <c r="C85" t="s">
        <v>97</v>
      </c>
    </row>
    <row r="86" spans="1:2" ht="12.75">
      <c r="A86" s="11" t="s">
        <v>98</v>
      </c>
      <c r="B86" s="36">
        <v>1181606</v>
      </c>
    </row>
    <row r="87" spans="1:3" ht="12.75">
      <c r="A87" s="11" t="s">
        <v>99</v>
      </c>
      <c r="B87" s="61" t="s">
        <v>100</v>
      </c>
      <c r="C87" t="s">
        <v>101</v>
      </c>
    </row>
    <row r="88" spans="1:4" ht="12.75">
      <c r="A88" s="62" t="s">
        <v>84</v>
      </c>
      <c r="B88" s="68" t="s">
        <v>910</v>
      </c>
      <c r="C88" s="64"/>
      <c r="D88" s="65"/>
    </row>
    <row r="89" spans="1:4" s="64" customFormat="1" ht="12.75">
      <c r="A89" s="11" t="s">
        <v>102</v>
      </c>
      <c r="B89" s="61" t="s">
        <v>103</v>
      </c>
      <c r="C89"/>
      <c r="D89" s="1"/>
    </row>
    <row r="90" spans="1:2" ht="12.75">
      <c r="A90" s="11" t="s">
        <v>104</v>
      </c>
      <c r="B90" s="61" t="s">
        <v>105</v>
      </c>
    </row>
    <row r="91" spans="1:2" ht="12.75">
      <c r="A91" s="11" t="s">
        <v>106</v>
      </c>
      <c r="B91" s="61" t="s">
        <v>107</v>
      </c>
    </row>
    <row r="92" spans="1:4" ht="12.75">
      <c r="A92" s="62"/>
      <c r="B92" s="69">
        <v>20863</v>
      </c>
      <c r="C92" s="64"/>
      <c r="D92" s="65"/>
    </row>
    <row r="93" spans="1:4" s="64" customFormat="1" ht="12.75">
      <c r="A93" s="11" t="s">
        <v>108</v>
      </c>
      <c r="B93" s="36" t="s">
        <v>109</v>
      </c>
      <c r="C93" t="s">
        <v>110</v>
      </c>
      <c r="D93" s="1"/>
    </row>
    <row r="94" ht="12.75">
      <c r="B94" s="70"/>
    </row>
    <row r="95" spans="1:4" ht="18">
      <c r="A95" s="14" t="s">
        <v>111</v>
      </c>
      <c r="B95" s="15"/>
      <c r="C95" s="16" t="s">
        <v>8</v>
      </c>
      <c r="D95" s="17">
        <v>39478</v>
      </c>
    </row>
    <row r="96" spans="2:5" ht="12.75">
      <c r="B96" s="52"/>
      <c r="C96" s="11" t="s">
        <v>9</v>
      </c>
      <c r="E96" s="18"/>
    </row>
    <row r="97" spans="1:3" ht="12.75">
      <c r="A97" s="11" t="s">
        <v>112</v>
      </c>
      <c r="B97" s="71" t="s">
        <v>113</v>
      </c>
      <c r="C97" s="72"/>
    </row>
    <row r="98" spans="1:3" ht="12.75">
      <c r="A98" s="11" t="s">
        <v>114</v>
      </c>
      <c r="B98" s="71" t="s">
        <v>115</v>
      </c>
      <c r="C98" s="72"/>
    </row>
    <row r="99" spans="1:3" ht="12.75">
      <c r="A99" s="11" t="s">
        <v>116</v>
      </c>
      <c r="B99" s="71" t="s">
        <v>911</v>
      </c>
      <c r="C99" s="72"/>
    </row>
    <row r="100" spans="1:3" ht="12.75">
      <c r="A100" s="11"/>
      <c r="B100" s="71"/>
      <c r="C100" s="72"/>
    </row>
    <row r="101" spans="1:3" ht="12.75">
      <c r="A101" s="11" t="s">
        <v>117</v>
      </c>
      <c r="B101" s="73" t="s">
        <v>912</v>
      </c>
      <c r="C101" s="52" t="s">
        <v>118</v>
      </c>
    </row>
    <row r="102" spans="1:3" ht="12.75">
      <c r="A102" s="11" t="s">
        <v>119</v>
      </c>
      <c r="B102" s="37" t="s">
        <v>913</v>
      </c>
      <c r="C102" s="72"/>
    </row>
    <row r="103" spans="1:3" ht="12.75">
      <c r="A103" s="11"/>
      <c r="B103" s="71"/>
      <c r="C103" s="72"/>
    </row>
    <row r="104" spans="1:3" ht="12.75">
      <c r="A104" s="11" t="s">
        <v>120</v>
      </c>
      <c r="B104" s="61" t="s">
        <v>121</v>
      </c>
      <c r="C104" s="72"/>
    </row>
    <row r="105" spans="1:3" ht="12.75">
      <c r="A105" s="11" t="s">
        <v>122</v>
      </c>
      <c r="B105" s="61">
        <v>3013</v>
      </c>
      <c r="C105" s="72"/>
    </row>
    <row r="106" spans="1:3" ht="12.75">
      <c r="A106" s="11" t="s">
        <v>123</v>
      </c>
      <c r="B106" s="61">
        <v>4061</v>
      </c>
      <c r="C106" s="72"/>
    </row>
    <row r="107" ht="12.75">
      <c r="C107" s="20"/>
    </row>
    <row r="108" spans="1:4" ht="18">
      <c r="A108" s="14" t="s">
        <v>124</v>
      </c>
      <c r="B108" s="15"/>
      <c r="C108" s="16" t="s">
        <v>8</v>
      </c>
      <c r="D108" s="17">
        <v>39478</v>
      </c>
    </row>
    <row r="109" spans="3:5" ht="12.75">
      <c r="C109" s="11" t="s">
        <v>9</v>
      </c>
      <c r="E109" s="18"/>
    </row>
    <row r="110" spans="1:2" ht="12.75">
      <c r="A110" s="11" t="s">
        <v>61</v>
      </c>
      <c r="B110" s="37" t="s">
        <v>125</v>
      </c>
    </row>
    <row r="111" spans="1:4" ht="12.75">
      <c r="A111" s="11" t="s">
        <v>126</v>
      </c>
      <c r="B111" s="37">
        <v>955</v>
      </c>
      <c r="C111" t="s">
        <v>127</v>
      </c>
      <c r="D111" s="1" t="s">
        <v>128</v>
      </c>
    </row>
    <row r="112" spans="1:4" ht="12.75">
      <c r="A112" s="11" t="s">
        <v>129</v>
      </c>
      <c r="B112" s="67" t="s">
        <v>914</v>
      </c>
      <c r="D112" s="11"/>
    </row>
    <row r="113" spans="1:4" ht="12.75">
      <c r="A113" s="11" t="s">
        <v>130</v>
      </c>
      <c r="B113" s="67" t="s">
        <v>915</v>
      </c>
      <c r="D113" s="11"/>
    </row>
    <row r="114" spans="1:4" ht="12.75">
      <c r="A114" s="11" t="s">
        <v>131</v>
      </c>
      <c r="B114" s="61" t="s">
        <v>132</v>
      </c>
      <c r="D114" s="11"/>
    </row>
    <row r="115" spans="1:4" ht="12.75">
      <c r="A115" s="11"/>
      <c r="B115" s="61"/>
      <c r="D115" s="11"/>
    </row>
    <row r="116" spans="1:4" ht="12.75">
      <c r="A116" s="11" t="s">
        <v>133</v>
      </c>
      <c r="B116" s="74">
        <v>13</v>
      </c>
      <c r="C116" t="s">
        <v>134</v>
      </c>
      <c r="D116" s="13"/>
    </row>
    <row r="117" spans="1:3" ht="12.75">
      <c r="A117" s="11" t="s">
        <v>135</v>
      </c>
      <c r="B117" s="74">
        <v>10.5</v>
      </c>
      <c r="C117" t="s">
        <v>134</v>
      </c>
    </row>
    <row r="118" spans="1:3" ht="12.75">
      <c r="A118" s="11" t="s">
        <v>136</v>
      </c>
      <c r="B118" s="75" t="s">
        <v>916</v>
      </c>
      <c r="C118" t="s">
        <v>137</v>
      </c>
    </row>
    <row r="119" spans="1:2" ht="12.75">
      <c r="A119" s="11"/>
      <c r="B119" s="76"/>
    </row>
    <row r="120" ht="12.75">
      <c r="D120" s="77"/>
    </row>
    <row r="121" spans="1:4" ht="18">
      <c r="A121" s="14" t="s">
        <v>138</v>
      </c>
      <c r="B121" s="15"/>
      <c r="C121" s="16" t="s">
        <v>8</v>
      </c>
      <c r="D121" s="17">
        <v>39491</v>
      </c>
    </row>
    <row r="122" spans="2:5" ht="12.75">
      <c r="B122" s="13"/>
      <c r="D122" t="s">
        <v>9</v>
      </c>
      <c r="E122" s="18"/>
    </row>
    <row r="123" spans="1:2" ht="12.75">
      <c r="A123" s="11" t="s">
        <v>126</v>
      </c>
      <c r="B123" s="37" t="s">
        <v>139</v>
      </c>
    </row>
    <row r="124" spans="1:4" ht="12.75">
      <c r="A124" s="62" t="s">
        <v>140</v>
      </c>
      <c r="B124" s="78" t="s">
        <v>917</v>
      </c>
      <c r="C124" s="64"/>
      <c r="D124" s="65"/>
    </row>
    <row r="125" spans="1:4" s="64" customFormat="1" ht="12.75">
      <c r="A125" s="11"/>
      <c r="B125" s="78"/>
      <c r="D125" s="65"/>
    </row>
    <row r="126" spans="1:4" s="64" customFormat="1" ht="12.75">
      <c r="A126" s="62" t="s">
        <v>142</v>
      </c>
      <c r="B126" s="78" t="s">
        <v>918</v>
      </c>
      <c r="C126" s="65" t="s">
        <v>926</v>
      </c>
      <c r="D126" s="65"/>
    </row>
    <row r="127" spans="1:4" s="64" customFormat="1" ht="12.75">
      <c r="A127" s="62" t="s">
        <v>143</v>
      </c>
      <c r="B127" s="73" t="s">
        <v>925</v>
      </c>
      <c r="C127" s="646">
        <v>881651415571</v>
      </c>
      <c r="D127" s="65"/>
    </row>
    <row r="129" spans="1:4" ht="18">
      <c r="A129" s="14" t="s">
        <v>144</v>
      </c>
      <c r="B129" s="15"/>
      <c r="C129" s="16" t="s">
        <v>8</v>
      </c>
      <c r="D129" s="17">
        <v>39478</v>
      </c>
    </row>
    <row r="130" spans="2:5" ht="12.75">
      <c r="B130" s="52"/>
      <c r="C130" s="20"/>
      <c r="D130" t="s">
        <v>9</v>
      </c>
      <c r="E130" s="18"/>
    </row>
    <row r="131" spans="1:3" ht="12.75">
      <c r="A131" s="11" t="s">
        <v>145</v>
      </c>
      <c r="B131" s="79">
        <v>74</v>
      </c>
      <c r="C131" s="20"/>
    </row>
    <row r="132" spans="1:3" ht="12.75">
      <c r="A132" s="11" t="s">
        <v>146</v>
      </c>
      <c r="B132" s="79">
        <f>B131</f>
        <v>74</v>
      </c>
      <c r="C132" s="20"/>
    </row>
    <row r="133" spans="1:3" ht="12.75">
      <c r="A133" s="11" t="s">
        <v>147</v>
      </c>
      <c r="B133" s="79">
        <f>B131</f>
        <v>74</v>
      </c>
      <c r="C133" s="20"/>
    </row>
    <row r="134" spans="1:3" ht="12.75">
      <c r="A134" s="618" t="s">
        <v>876</v>
      </c>
      <c r="B134" s="619">
        <v>39349</v>
      </c>
      <c r="C134" s="20"/>
    </row>
    <row r="135" spans="1:5" ht="12.75">
      <c r="A135" s="663" t="s">
        <v>148</v>
      </c>
      <c r="B135" s="663"/>
      <c r="C135" s="664" t="s">
        <v>149</v>
      </c>
      <c r="D135" s="664"/>
      <c r="E135" s="64"/>
    </row>
    <row r="136" spans="1:5" ht="12.75">
      <c r="A136" s="80" t="s">
        <v>150</v>
      </c>
      <c r="B136" s="81">
        <v>-9.83881046</v>
      </c>
      <c r="C136" s="80" t="s">
        <v>150</v>
      </c>
      <c r="D136" s="81">
        <v>0.00428399332</v>
      </c>
      <c r="E136" s="64"/>
    </row>
    <row r="137" spans="1:5" ht="12.75">
      <c r="A137" s="80" t="s">
        <v>151</v>
      </c>
      <c r="B137" s="81">
        <v>1.10142434</v>
      </c>
      <c r="C137" s="80" t="s">
        <v>151</v>
      </c>
      <c r="D137" s="81">
        <v>0.00062826769</v>
      </c>
      <c r="E137" s="64"/>
    </row>
    <row r="138" spans="1:5" ht="12.75">
      <c r="A138" s="80" t="s">
        <v>152</v>
      </c>
      <c r="B138" s="81">
        <v>-0.00163138993</v>
      </c>
      <c r="C138" s="80" t="s">
        <v>152</v>
      </c>
      <c r="D138" s="81">
        <v>2.33110286E-05</v>
      </c>
      <c r="E138" s="64"/>
    </row>
    <row r="139" spans="1:5" ht="12.75">
      <c r="A139" s="80" t="s">
        <v>153</v>
      </c>
      <c r="B139" s="81">
        <v>0.000205652431</v>
      </c>
      <c r="C139" s="80" t="s">
        <v>153</v>
      </c>
      <c r="D139" s="81">
        <v>2.46290428E-06</v>
      </c>
      <c r="E139" s="64"/>
    </row>
    <row r="140" spans="1:5" ht="12.75">
      <c r="A140" s="82" t="s">
        <v>154</v>
      </c>
      <c r="B140" s="83">
        <v>-9.57E-08</v>
      </c>
      <c r="C140" s="82" t="s">
        <v>155</v>
      </c>
      <c r="D140" s="84">
        <v>1000</v>
      </c>
      <c r="E140" s="64"/>
    </row>
    <row r="141" spans="1:5" ht="12.75">
      <c r="A141" s="82" t="s">
        <v>156</v>
      </c>
      <c r="B141" s="81">
        <v>3.25E-06</v>
      </c>
      <c r="C141" s="82"/>
      <c r="D141" s="85"/>
      <c r="E141" s="64"/>
    </row>
    <row r="143" spans="1:4" ht="18">
      <c r="A143" s="14" t="s">
        <v>157</v>
      </c>
      <c r="B143" s="15"/>
      <c r="C143" s="16" t="s">
        <v>8</v>
      </c>
      <c r="D143" s="17">
        <v>39478</v>
      </c>
    </row>
    <row r="144" spans="2:9" ht="12.75">
      <c r="B144" s="52"/>
      <c r="C144" s="20"/>
      <c r="D144" s="86"/>
      <c r="E144" s="18"/>
      <c r="I144" t="s">
        <v>158</v>
      </c>
    </row>
    <row r="145" spans="1:3" ht="12.75">
      <c r="A145" s="21" t="s">
        <v>61</v>
      </c>
      <c r="B145" s="71" t="s">
        <v>159</v>
      </c>
      <c r="C145" s="20"/>
    </row>
    <row r="146" spans="1:4" ht="12.75">
      <c r="A146" s="11" t="s">
        <v>126</v>
      </c>
      <c r="B146" s="71" t="s">
        <v>160</v>
      </c>
      <c r="C146" s="87" t="s">
        <v>161</v>
      </c>
      <c r="D146" s="65"/>
    </row>
    <row r="147" spans="1:4" s="64" customFormat="1" ht="12.75">
      <c r="A147" s="11" t="s">
        <v>84</v>
      </c>
      <c r="B147" s="88">
        <v>397</v>
      </c>
      <c r="C147" s="87">
        <v>452</v>
      </c>
      <c r="D147" s="65"/>
    </row>
    <row r="148" spans="1:4" s="64" customFormat="1" ht="12.75">
      <c r="A148"/>
      <c r="B148" s="20"/>
      <c r="C148" s="20"/>
      <c r="D148" s="1"/>
    </row>
    <row r="149" spans="1:4" ht="18">
      <c r="A149" s="14" t="s">
        <v>162</v>
      </c>
      <c r="B149" s="15"/>
      <c r="C149" s="16" t="s">
        <v>8</v>
      </c>
      <c r="D149" s="17">
        <v>39479</v>
      </c>
    </row>
    <row r="150" spans="2:5" ht="12.75">
      <c r="B150" s="71"/>
      <c r="C150" s="20"/>
      <c r="E150" s="18"/>
    </row>
    <row r="151" spans="1:6" ht="12.75">
      <c r="A151" s="21" t="s">
        <v>61</v>
      </c>
      <c r="B151" s="34" t="s">
        <v>919</v>
      </c>
      <c r="C151" s="638" t="s">
        <v>163</v>
      </c>
      <c r="D151" s="61" t="s">
        <v>923</v>
      </c>
      <c r="F151" s="643"/>
    </row>
    <row r="152" spans="1:6" ht="12.75">
      <c r="A152" s="11" t="s">
        <v>126</v>
      </c>
      <c r="B152" s="34" t="s">
        <v>920</v>
      </c>
      <c r="C152" s="66" t="s">
        <v>164</v>
      </c>
      <c r="D152" s="639">
        <v>0.00021841</v>
      </c>
      <c r="F152" s="643"/>
    </row>
    <row r="153" spans="1:6" ht="12.75">
      <c r="A153" s="11" t="s">
        <v>84</v>
      </c>
      <c r="B153" s="88">
        <v>130</v>
      </c>
      <c r="C153" s="11" t="s">
        <v>879</v>
      </c>
      <c r="D153" s="639" t="s">
        <v>141</v>
      </c>
      <c r="F153" s="643"/>
    </row>
    <row r="154" spans="1:6" ht="12.75">
      <c r="A154" s="62"/>
      <c r="B154" s="88"/>
      <c r="C154" s="62" t="s">
        <v>880</v>
      </c>
      <c r="D154" s="639" t="s">
        <v>141</v>
      </c>
      <c r="F154" s="643"/>
    </row>
    <row r="155" spans="1:6" s="64" customFormat="1" ht="12.75">
      <c r="A155" s="21" t="s">
        <v>61</v>
      </c>
      <c r="B155" s="640" t="s">
        <v>921</v>
      </c>
      <c r="C155" s="11" t="s">
        <v>881</v>
      </c>
      <c r="D155" s="639" t="s">
        <v>141</v>
      </c>
      <c r="F155" s="643"/>
    </row>
    <row r="156" spans="1:6" ht="12.75">
      <c r="A156" s="11" t="s">
        <v>126</v>
      </c>
      <c r="B156" s="61" t="s">
        <v>939</v>
      </c>
      <c r="C156" s="66" t="s">
        <v>165</v>
      </c>
      <c r="D156" s="641">
        <v>-788.7324</v>
      </c>
      <c r="F156" s="643"/>
    </row>
    <row r="157" spans="1:6" ht="12.75">
      <c r="A157" s="11" t="s">
        <v>84</v>
      </c>
      <c r="B157" s="88">
        <v>20</v>
      </c>
      <c r="C157" s="66" t="s">
        <v>166</v>
      </c>
      <c r="D157" s="642">
        <v>-0.0010893</v>
      </c>
      <c r="F157" s="643"/>
    </row>
    <row r="158" spans="2:6" ht="12.75">
      <c r="B158" s="61"/>
      <c r="C158" s="66" t="s">
        <v>167</v>
      </c>
      <c r="D158" s="641">
        <v>0.00020615</v>
      </c>
      <c r="F158" s="643"/>
    </row>
    <row r="159" spans="3:6" ht="12.75">
      <c r="C159" s="66" t="s">
        <v>168</v>
      </c>
      <c r="D159" s="641">
        <v>-3.5779E-06</v>
      </c>
      <c r="F159" s="643"/>
    </row>
    <row r="160" spans="3:6" ht="12.75">
      <c r="C160" s="66" t="s">
        <v>922</v>
      </c>
      <c r="D160" s="641">
        <v>0.036</v>
      </c>
      <c r="F160" s="643"/>
    </row>
    <row r="161" spans="3:6" ht="12.75">
      <c r="C161" s="89" t="s">
        <v>169</v>
      </c>
      <c r="D161" s="90" t="s">
        <v>141</v>
      </c>
      <c r="F161" s="643"/>
    </row>
    <row r="162" ht="12.75">
      <c r="A162" s="66"/>
    </row>
    <row r="164" ht="12.75">
      <c r="B164" s="37"/>
    </row>
    <row r="165" ht="12.75">
      <c r="B165" s="37"/>
    </row>
    <row r="166" ht="12.75">
      <c r="B166" s="37"/>
    </row>
    <row r="170" ht="12.75">
      <c r="B170" s="37"/>
    </row>
  </sheetData>
  <mergeCells count="2">
    <mergeCell ref="A135:B135"/>
    <mergeCell ref="C135:D135"/>
  </mergeCells>
  <printOptions/>
  <pageMargins left="1" right="0.7479166666666667" top="0.9840277777777777" bottom="0.9840277777777777" header="0.5118055555555555" footer="0.5"/>
  <pageSetup fitToHeight="0" fitToWidth="1" horizontalDpi="300" verticalDpi="300" orientation="portrait" scale="87" r:id="rId1"/>
  <headerFooter alignWithMargins="0">
    <oddFooter>&amp;C&amp;F&amp;RPage &amp;P of &amp;N</oddFooter>
  </headerFooter>
  <rowBreaks count="2" manualBreakCount="2">
    <brk id="52" max="255" man="1"/>
    <brk id="10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1" sqref="A1"/>
    </sheetView>
  </sheetViews>
  <sheetFormatPr defaultColWidth="9.140625" defaultRowHeight="12.75"/>
  <cols>
    <col min="1" max="1" width="17.28125" style="0" customWidth="1"/>
    <col min="2" max="2" width="2.140625" style="0" customWidth="1"/>
    <col min="3" max="3" width="19.7109375" style="0" customWidth="1"/>
    <col min="4" max="4" width="1.421875" style="0" customWidth="1"/>
    <col min="5" max="7" width="8.8515625" style="0" customWidth="1"/>
    <col min="8" max="8" width="10.28125" style="0" customWidth="1"/>
    <col min="9" max="16384" width="8.8515625" style="0" customWidth="1"/>
  </cols>
  <sheetData>
    <row r="1" ht="12.75">
      <c r="A1" t="s">
        <v>811</v>
      </c>
    </row>
    <row r="2" ht="12.75">
      <c r="A2" t="s">
        <v>812</v>
      </c>
    </row>
    <row r="4" ht="12.75">
      <c r="A4" t="s">
        <v>813</v>
      </c>
    </row>
    <row r="5" spans="1:4" ht="12.75">
      <c r="A5" t="s">
        <v>814</v>
      </c>
      <c r="B5" t="s">
        <v>815</v>
      </c>
      <c r="C5" s="613">
        <f>Cal!D1</f>
        <v>147</v>
      </c>
      <c r="D5" t="s">
        <v>816</v>
      </c>
    </row>
    <row r="6" spans="1:5" ht="12.75">
      <c r="A6" t="s">
        <v>817</v>
      </c>
      <c r="B6" t="s">
        <v>815</v>
      </c>
      <c r="C6" s="613">
        <f>Total_Weight_In_Air</f>
        <v>53324.6</v>
      </c>
      <c r="D6" t="s">
        <v>816</v>
      </c>
      <c r="E6" t="s">
        <v>818</v>
      </c>
    </row>
    <row r="7" spans="1:5" ht="12.75">
      <c r="A7" t="s">
        <v>819</v>
      </c>
      <c r="B7" t="s">
        <v>815</v>
      </c>
      <c r="C7" s="39">
        <f>Ballast!D38</f>
        <v>51778.90423553976</v>
      </c>
      <c r="D7" t="s">
        <v>816</v>
      </c>
      <c r="E7" t="s">
        <v>820</v>
      </c>
    </row>
    <row r="8" spans="1:4" ht="12.75">
      <c r="A8" t="s">
        <v>821</v>
      </c>
      <c r="B8" t="s">
        <v>815</v>
      </c>
      <c r="C8" s="614" t="s">
        <v>822</v>
      </c>
      <c r="D8" t="s">
        <v>816</v>
      </c>
    </row>
    <row r="9" spans="1:5" ht="12.75">
      <c r="A9" t="s">
        <v>823</v>
      </c>
      <c r="B9" t="s">
        <v>815</v>
      </c>
      <c r="C9" s="527">
        <f>Ballast!B29*1000</f>
        <v>1027.5</v>
      </c>
      <c r="D9" t="s">
        <v>816</v>
      </c>
      <c r="E9" t="s">
        <v>824</v>
      </c>
    </row>
    <row r="10" ht="12.75">
      <c r="C10" s="537"/>
    </row>
    <row r="11" ht="12.75">
      <c r="A11" t="s">
        <v>825</v>
      </c>
    </row>
    <row r="12" spans="1:4" ht="12.75">
      <c r="A12" t="s">
        <v>826</v>
      </c>
      <c r="B12" t="s">
        <v>815</v>
      </c>
      <c r="C12" s="39">
        <f>Cal!C13</f>
        <v>485</v>
      </c>
      <c r="D12" t="s">
        <v>816</v>
      </c>
    </row>
    <row r="13" spans="1:4" ht="12.75">
      <c r="A13" t="s">
        <v>827</v>
      </c>
      <c r="B13" t="s">
        <v>815</v>
      </c>
      <c r="C13" s="39">
        <f>Cal!C14</f>
        <v>3757</v>
      </c>
      <c r="D13" t="s">
        <v>816</v>
      </c>
    </row>
    <row r="14" spans="1:4" ht="12.75">
      <c r="A14" t="s">
        <v>828</v>
      </c>
      <c r="B14" t="s">
        <v>815</v>
      </c>
      <c r="C14" s="39">
        <f>Cal!C28</f>
        <v>160</v>
      </c>
      <c r="D14" t="s">
        <v>816</v>
      </c>
    </row>
    <row r="15" spans="1:4" ht="12.75">
      <c r="A15" t="s">
        <v>829</v>
      </c>
      <c r="B15" t="s">
        <v>815</v>
      </c>
      <c r="C15" s="39">
        <f>Cal!C29</f>
        <v>3941</v>
      </c>
      <c r="D15" t="s">
        <v>816</v>
      </c>
    </row>
    <row r="16" spans="1:4" ht="12.75">
      <c r="A16" t="s">
        <v>830</v>
      </c>
      <c r="B16" t="s">
        <v>815</v>
      </c>
      <c r="C16" s="39">
        <f>Cal!C43</f>
        <v>477</v>
      </c>
      <c r="D16" t="s">
        <v>816</v>
      </c>
    </row>
    <row r="17" spans="1:4" ht="12.75">
      <c r="A17" t="s">
        <v>831</v>
      </c>
      <c r="B17" t="s">
        <v>815</v>
      </c>
      <c r="C17" s="39">
        <f>Cal!C44</f>
        <v>3951</v>
      </c>
      <c r="D17" t="s">
        <v>816</v>
      </c>
    </row>
    <row r="18" spans="1:4" ht="12.75">
      <c r="A18" t="s">
        <v>832</v>
      </c>
      <c r="B18" t="s">
        <v>815</v>
      </c>
      <c r="C18">
        <v>-4.0767</v>
      </c>
      <c r="D18" t="s">
        <v>816</v>
      </c>
    </row>
    <row r="19" ht="12.75">
      <c r="C19" s="537"/>
    </row>
    <row r="20" spans="1:3" ht="12.75">
      <c r="A20" t="s">
        <v>833</v>
      </c>
      <c r="C20" s="537"/>
    </row>
    <row r="21" spans="1:5" ht="12.75">
      <c r="A21" t="s">
        <v>834</v>
      </c>
      <c r="B21" t="s">
        <v>815</v>
      </c>
      <c r="C21" s="537" t="s">
        <v>835</v>
      </c>
      <c r="D21" t="s">
        <v>816</v>
      </c>
      <c r="E21" t="s">
        <v>836</v>
      </c>
    </row>
    <row r="22" spans="1:4" ht="12.75">
      <c r="A22" t="s">
        <v>837</v>
      </c>
      <c r="B22" t="s">
        <v>815</v>
      </c>
      <c r="C22" s="589">
        <f>Cal!D136</f>
        <v>0.00428399332</v>
      </c>
      <c r="D22" t="s">
        <v>816</v>
      </c>
    </row>
    <row r="23" spans="1:4" ht="12.75">
      <c r="A23" t="s">
        <v>838</v>
      </c>
      <c r="B23" t="s">
        <v>815</v>
      </c>
      <c r="C23" s="589">
        <f>Cal!D137</f>
        <v>0.00062826769</v>
      </c>
      <c r="D23" t="s">
        <v>816</v>
      </c>
    </row>
    <row r="24" spans="1:4" ht="12.75">
      <c r="A24" t="s">
        <v>839</v>
      </c>
      <c r="B24" t="s">
        <v>815</v>
      </c>
      <c r="C24" s="589">
        <f>Cal!D138</f>
        <v>2.33110286E-05</v>
      </c>
      <c r="D24" t="s">
        <v>816</v>
      </c>
    </row>
    <row r="25" spans="1:4" ht="12.75">
      <c r="A25" t="s">
        <v>840</v>
      </c>
      <c r="B25" t="s">
        <v>815</v>
      </c>
      <c r="C25" s="589">
        <f>Cal!D139</f>
        <v>2.46290428E-06</v>
      </c>
      <c r="D25" t="s">
        <v>816</v>
      </c>
    </row>
    <row r="26" spans="1:4" ht="12.75">
      <c r="A26" t="s">
        <v>841</v>
      </c>
      <c r="B26" t="s">
        <v>815</v>
      </c>
      <c r="C26" s="589">
        <f>Cal!B136</f>
        <v>-9.83881046</v>
      </c>
      <c r="D26" t="s">
        <v>816</v>
      </c>
    </row>
    <row r="27" spans="1:4" ht="12.75">
      <c r="A27" t="s">
        <v>842</v>
      </c>
      <c r="B27" t="s">
        <v>815</v>
      </c>
      <c r="C27" s="589">
        <f>Cal!B137</f>
        <v>1.10142434</v>
      </c>
      <c r="D27" t="s">
        <v>816</v>
      </c>
    </row>
    <row r="28" spans="1:4" ht="12.75">
      <c r="A28" t="s">
        <v>843</v>
      </c>
      <c r="B28" t="s">
        <v>815</v>
      </c>
      <c r="C28" s="589">
        <f>Cal!B138</f>
        <v>-0.00163138993</v>
      </c>
      <c r="D28" t="s">
        <v>816</v>
      </c>
    </row>
    <row r="29" spans="1:4" ht="12.75">
      <c r="A29" t="s">
        <v>844</v>
      </c>
      <c r="B29" t="s">
        <v>815</v>
      </c>
      <c r="C29" s="589">
        <f>Cal!B139</f>
        <v>0.000205652431</v>
      </c>
      <c r="D29" t="s">
        <v>816</v>
      </c>
    </row>
    <row r="30" spans="1:4" ht="12.75">
      <c r="A30" t="s">
        <v>845</v>
      </c>
      <c r="B30" t="s">
        <v>815</v>
      </c>
      <c r="C30" s="589">
        <f>Cal!B140</f>
        <v>-9.57E-08</v>
      </c>
      <c r="D30" t="s">
        <v>816</v>
      </c>
    </row>
    <row r="31" spans="1:4" ht="12.75">
      <c r="A31" t="s">
        <v>846</v>
      </c>
      <c r="B31" t="s">
        <v>815</v>
      </c>
      <c r="C31" s="589">
        <f>Cal!B141</f>
        <v>3.25E-06</v>
      </c>
      <c r="D31" t="s">
        <v>816</v>
      </c>
    </row>
    <row r="32" spans="1:5" ht="12.75">
      <c r="A32" t="s">
        <v>847</v>
      </c>
      <c r="B32" t="s">
        <v>815</v>
      </c>
      <c r="C32" s="589">
        <v>2.98319</v>
      </c>
      <c r="D32" s="615" t="s">
        <v>816</v>
      </c>
      <c r="E32" t="s">
        <v>848</v>
      </c>
    </row>
    <row r="33" spans="1:5" ht="12.75">
      <c r="A33" t="s">
        <v>849</v>
      </c>
      <c r="B33" t="s">
        <v>815</v>
      </c>
      <c r="C33" s="589">
        <v>8</v>
      </c>
      <c r="D33" s="615" t="s">
        <v>816</v>
      </c>
      <c r="E33" t="s">
        <v>850</v>
      </c>
    </row>
    <row r="34" spans="1:5" ht="12.75">
      <c r="A34" t="s">
        <v>851</v>
      </c>
      <c r="B34" t="s">
        <v>815</v>
      </c>
      <c r="C34" s="589">
        <v>2.924212</v>
      </c>
      <c r="D34" s="615" t="s">
        <v>816</v>
      </c>
      <c r="E34" t="s">
        <v>852</v>
      </c>
    </row>
    <row r="35" spans="1:5" ht="12.75">
      <c r="A35" t="s">
        <v>853</v>
      </c>
      <c r="B35" t="s">
        <v>815</v>
      </c>
      <c r="C35" s="589">
        <v>5.555283</v>
      </c>
      <c r="D35" s="615" t="s">
        <v>816</v>
      </c>
      <c r="E35" t="s">
        <v>854</v>
      </c>
    </row>
    <row r="36" ht="12.75">
      <c r="C36" s="589"/>
    </row>
    <row r="37" ht="12.75">
      <c r="A37" t="s">
        <v>855</v>
      </c>
    </row>
    <row r="38" spans="1:5" ht="12.75">
      <c r="A38" t="s">
        <v>856</v>
      </c>
      <c r="B38" t="s">
        <v>815</v>
      </c>
      <c r="C38" s="614" t="s">
        <v>857</v>
      </c>
      <c r="D38" t="s">
        <v>816</v>
      </c>
      <c r="E38" t="s">
        <v>858</v>
      </c>
    </row>
    <row r="39" spans="1:5" ht="12.75">
      <c r="A39" t="s">
        <v>859</v>
      </c>
      <c r="B39" t="s">
        <v>815</v>
      </c>
      <c r="C39" s="614" t="s">
        <v>860</v>
      </c>
      <c r="D39" t="s">
        <v>816</v>
      </c>
      <c r="E39" t="s">
        <v>836</v>
      </c>
    </row>
    <row r="40" spans="1:4" ht="12.75">
      <c r="A40" t="s">
        <v>861</v>
      </c>
      <c r="B40" t="s">
        <v>815</v>
      </c>
      <c r="C40" s="616" t="str">
        <f>Cal!D153</f>
        <v>NA</v>
      </c>
      <c r="D40" t="s">
        <v>816</v>
      </c>
    </row>
    <row r="41" spans="1:4" ht="12.75">
      <c r="A41" t="s">
        <v>862</v>
      </c>
      <c r="B41" t="s">
        <v>815</v>
      </c>
      <c r="C41" s="616">
        <f>Cal!D157</f>
        <v>-0.0010893</v>
      </c>
      <c r="D41" t="s">
        <v>816</v>
      </c>
    </row>
    <row r="42" spans="1:4" ht="12.75">
      <c r="A42" t="s">
        <v>863</v>
      </c>
      <c r="B42" t="s">
        <v>815</v>
      </c>
      <c r="C42" s="616">
        <f>Cal!D158</f>
        <v>0.00020615</v>
      </c>
      <c r="D42" t="s">
        <v>816</v>
      </c>
    </row>
    <row r="43" spans="1:4" ht="12.75">
      <c r="A43" t="s">
        <v>864</v>
      </c>
      <c r="B43" t="s">
        <v>815</v>
      </c>
      <c r="C43" s="616">
        <f>Cal!D159</f>
        <v>-3.5779E-06</v>
      </c>
      <c r="D43" t="s">
        <v>816</v>
      </c>
    </row>
    <row r="44" spans="1:4" ht="12.75">
      <c r="A44" t="s">
        <v>865</v>
      </c>
      <c r="B44" t="s">
        <v>815</v>
      </c>
      <c r="C44" s="616">
        <f>Cal!D160</f>
        <v>0.036</v>
      </c>
      <c r="D44" t="s">
        <v>816</v>
      </c>
    </row>
    <row r="45" spans="1:4" ht="12.75">
      <c r="A45" t="s">
        <v>866</v>
      </c>
      <c r="B45" t="s">
        <v>815</v>
      </c>
      <c r="C45" s="616" t="str">
        <f>Cal!D161</f>
        <v>NA</v>
      </c>
      <c r="D45" t="s">
        <v>816</v>
      </c>
    </row>
    <row r="47" ht="12.75">
      <c r="A47" t="s">
        <v>867</v>
      </c>
    </row>
    <row r="48" spans="1:5" ht="12.75">
      <c r="A48" t="s">
        <v>868</v>
      </c>
      <c r="B48" t="s">
        <v>815</v>
      </c>
      <c r="C48" s="537">
        <v>0.003836</v>
      </c>
      <c r="D48" t="s">
        <v>816</v>
      </c>
      <c r="E48" t="s">
        <v>869</v>
      </c>
    </row>
    <row r="49" spans="1:4" ht="12.75">
      <c r="A49" t="s">
        <v>870</v>
      </c>
      <c r="B49" t="s">
        <v>815</v>
      </c>
      <c r="C49" s="537">
        <v>0.010078</v>
      </c>
      <c r="D49" t="s">
        <v>816</v>
      </c>
    </row>
    <row r="50" spans="1:4" ht="12.75">
      <c r="A50" t="s">
        <v>871</v>
      </c>
      <c r="B50" t="s">
        <v>815</v>
      </c>
      <c r="C50" s="617">
        <v>9.8541E-06</v>
      </c>
      <c r="D50" t="s">
        <v>816</v>
      </c>
    </row>
    <row r="51" ht="12.75">
      <c r="A51" t="s">
        <v>872</v>
      </c>
    </row>
    <row r="53" ht="12.75">
      <c r="A53" t="s">
        <v>872</v>
      </c>
    </row>
    <row r="54" ht="12.75">
      <c r="A54" t="s">
        <v>872</v>
      </c>
    </row>
  </sheetData>
  <printOptions/>
  <pageMargins left="0.7479166666666667" right="0.7479166666666667" top="0.9840277777777777" bottom="0.9840277777777777" header="0.5118055555555555" footer="0.5"/>
  <pageSetup fitToHeight="1" fitToWidth="1" horizontalDpi="300" verticalDpi="300" orientation="portrait" scale="96" r:id="rId1"/>
  <headerFooter alignWithMargins="0">
    <oddFooter>&amp;C&amp;F&amp;R&amp;P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17"/>
  <sheetViews>
    <sheetView tabSelected="1" zoomScale="75" zoomScaleNormal="75" workbookViewId="0" topLeftCell="A1">
      <selection activeCell="C134" sqref="C134"/>
    </sheetView>
  </sheetViews>
  <sheetFormatPr defaultColWidth="9.140625" defaultRowHeight="12.75"/>
  <cols>
    <col min="1" max="1" width="9.140625" style="20" customWidth="1"/>
    <col min="2" max="2" width="71.7109375" style="18" customWidth="1"/>
    <col min="3" max="3" width="16.00390625" style="20" customWidth="1"/>
    <col min="4" max="4" width="9.00390625" style="20" customWidth="1"/>
    <col min="5" max="5" width="12.00390625" style="34" customWidth="1"/>
    <col min="6" max="6" width="10.7109375" style="20" customWidth="1"/>
    <col min="7" max="7" width="9.7109375" style="34" customWidth="1"/>
    <col min="8" max="8" width="9.7109375" style="20" customWidth="1"/>
    <col min="9" max="9" width="11.00390625" style="20" customWidth="1"/>
    <col min="10" max="10" width="9.7109375" style="34" customWidth="1"/>
    <col min="11" max="11" width="11.00390625" style="20" customWidth="1"/>
    <col min="12" max="12" width="9.7109375" style="34" customWidth="1"/>
    <col min="13" max="13" width="9.7109375" style="18" customWidth="1"/>
    <col min="14" max="14" width="10.8515625" style="20" customWidth="1"/>
    <col min="15" max="17" width="9.7109375" style="20" customWidth="1"/>
    <col min="18" max="18" width="9.28125" style="20" customWidth="1"/>
    <col min="19" max="21" width="8.8515625" style="18" customWidth="1"/>
    <col min="22" max="22" width="8.7109375" style="20" customWidth="1"/>
    <col min="23" max="16384" width="8.8515625" style="18" customWidth="1"/>
  </cols>
  <sheetData>
    <row r="1" spans="1:256" ht="23.25">
      <c r="A1" s="1"/>
      <c r="B1" s="91" t="s">
        <v>170</v>
      </c>
      <c r="C1" s="1"/>
      <c r="D1" s="6" t="s">
        <v>2</v>
      </c>
      <c r="E1" s="92">
        <f ca="1">NOW()</f>
        <v>39948.64635497685</v>
      </c>
      <c r="H1" s="1"/>
      <c r="I1" s="1"/>
      <c r="K1" s="1"/>
      <c r="L1" s="61"/>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2" s="96" customFormat="1" ht="23.25">
      <c r="A2" s="93"/>
      <c r="B2" s="94" t="s">
        <v>171</v>
      </c>
      <c r="C2" s="95">
        <f>Cal!D1</f>
        <v>147</v>
      </c>
      <c r="D2" s="6" t="s">
        <v>4</v>
      </c>
      <c r="E2" s="9">
        <f ca="1">NOW()</f>
        <v>39948.64635497685</v>
      </c>
      <c r="G2" s="97"/>
      <c r="I2" s="93"/>
      <c r="L2" s="98"/>
      <c r="M2" s="6" t="s">
        <v>172</v>
      </c>
      <c r="N2" s="93"/>
      <c r="O2" s="99"/>
      <c r="P2"/>
      <c r="Q2" s="93"/>
      <c r="R2" s="93"/>
      <c r="V2" s="93"/>
    </row>
    <row r="3" spans="1:22" s="101" customFormat="1" ht="15">
      <c r="A3" s="100"/>
      <c r="C3" s="102"/>
      <c r="D3" s="100"/>
      <c r="E3" s="103"/>
      <c r="F3" s="100"/>
      <c r="G3" s="103"/>
      <c r="H3" s="100"/>
      <c r="I3" s="100"/>
      <c r="J3" s="104"/>
      <c r="K3" s="100"/>
      <c r="L3" s="100"/>
      <c r="N3" s="100"/>
      <c r="O3" s="104"/>
      <c r="P3" s="100"/>
      <c r="Q3" s="100"/>
      <c r="R3" s="100"/>
      <c r="V3" s="100"/>
    </row>
    <row r="4" spans="1:18" s="106" customFormat="1" ht="15">
      <c r="A4" s="105"/>
      <c r="B4" s="6" t="s">
        <v>173</v>
      </c>
      <c r="C4" s="102"/>
      <c r="E4" s="102"/>
      <c r="F4" s="107"/>
      <c r="G4" s="102"/>
      <c r="I4" s="105"/>
      <c r="J4" s="108"/>
      <c r="K4" s="109"/>
      <c r="L4" s="110"/>
      <c r="M4" s="108"/>
      <c r="N4" s="109"/>
      <c r="O4" s="109"/>
      <c r="P4" s="109"/>
      <c r="Q4" s="107"/>
      <c r="R4" s="105"/>
    </row>
    <row r="5" spans="1:18" s="106" customFormat="1" ht="15.75">
      <c r="A5" s="105"/>
      <c r="B5" s="111"/>
      <c r="E5" s="102"/>
      <c r="F5" s="107"/>
      <c r="G5" s="102"/>
      <c r="I5" s="105"/>
      <c r="J5" s="108"/>
      <c r="K5" s="109"/>
      <c r="L5" s="110"/>
      <c r="M5" s="108"/>
      <c r="N5" s="109"/>
      <c r="O5" s="109"/>
      <c r="P5" s="109"/>
      <c r="Q5" s="107"/>
      <c r="R5" s="105"/>
    </row>
    <row r="6" spans="1:18" s="106" customFormat="1" ht="15.75">
      <c r="A6" s="105"/>
      <c r="B6" s="111"/>
      <c r="C6" s="112" t="s">
        <v>174</v>
      </c>
      <c r="E6" s="102"/>
      <c r="F6" s="107"/>
      <c r="G6" s="102"/>
      <c r="I6" s="105"/>
      <c r="J6" s="108"/>
      <c r="K6" s="109"/>
      <c r="L6" s="110"/>
      <c r="M6" s="108"/>
      <c r="N6" s="109"/>
      <c r="O6" s="109"/>
      <c r="P6" s="109"/>
      <c r="Q6" s="107"/>
      <c r="R6" s="105"/>
    </row>
    <row r="7" spans="1:18" s="115" customFormat="1" ht="15">
      <c r="A7" s="113"/>
      <c r="B7" s="114" t="s">
        <v>175</v>
      </c>
      <c r="E7" s="116"/>
      <c r="F7" s="113"/>
      <c r="G7" s="117"/>
      <c r="I7" s="113"/>
      <c r="J7" s="118"/>
      <c r="K7" s="119"/>
      <c r="L7" s="120"/>
      <c r="M7" s="118"/>
      <c r="N7" s="121"/>
      <c r="O7" s="119"/>
      <c r="P7" s="119"/>
      <c r="Q7" s="113"/>
      <c r="R7" s="113"/>
    </row>
    <row r="8" spans="1:18" s="106" customFormat="1" ht="15">
      <c r="A8" s="105"/>
      <c r="B8" s="6" t="s">
        <v>176</v>
      </c>
      <c r="C8" s="107">
        <f>Total_Weight</f>
        <v>53324.6</v>
      </c>
      <c r="D8" s="122" t="s">
        <v>177</v>
      </c>
      <c r="E8" s="123"/>
      <c r="G8" s="102"/>
      <c r="J8" s="108"/>
      <c r="M8" s="124"/>
      <c r="N8" s="109"/>
      <c r="O8" s="108"/>
      <c r="Q8" s="105"/>
      <c r="R8" s="105"/>
    </row>
    <row r="9" spans="1:18" s="106" customFormat="1" ht="15">
      <c r="A9" s="105"/>
      <c r="B9" s="125" t="s">
        <v>178</v>
      </c>
      <c r="C9" s="126">
        <f>51966+156.3+511.3</f>
        <v>52633.600000000006</v>
      </c>
      <c r="D9" s="122" t="s">
        <v>177</v>
      </c>
      <c r="E9" s="127" t="s">
        <v>930</v>
      </c>
      <c r="G9" s="102"/>
      <c r="H9" s="6"/>
      <c r="I9" s="128"/>
      <c r="K9" s="129"/>
      <c r="L9" s="109"/>
      <c r="M9" s="124"/>
      <c r="N9" s="109"/>
      <c r="O9" s="108"/>
      <c r="Q9" s="105"/>
      <c r="R9" s="105"/>
    </row>
    <row r="10" spans="1:18" s="106" customFormat="1" ht="15">
      <c r="A10" s="105"/>
      <c r="B10" s="130" t="s">
        <v>179</v>
      </c>
      <c r="C10" s="128">
        <f>C9-Total_Weight_In_Air</f>
        <v>-690.9999999999927</v>
      </c>
      <c r="D10" s="122" t="s">
        <v>177</v>
      </c>
      <c r="H10" s="125"/>
      <c r="I10" s="107"/>
      <c r="J10" s="122"/>
      <c r="L10" s="109"/>
      <c r="M10" s="124"/>
      <c r="N10" s="109"/>
      <c r="O10" s="108"/>
      <c r="Q10" s="105"/>
      <c r="R10" s="105"/>
    </row>
    <row r="11" spans="1:18" s="106" customFormat="1" ht="15">
      <c r="A11" s="105"/>
      <c r="B11" s="130" t="s">
        <v>180</v>
      </c>
      <c r="C11" s="131">
        <f>SUM(F64:F82,F92:F93)</f>
        <v>3697.7999999999997</v>
      </c>
      <c r="D11" s="122" t="s">
        <v>177</v>
      </c>
      <c r="E11" s="123"/>
      <c r="G11" s="102"/>
      <c r="H11" s="125"/>
      <c r="I11" s="107"/>
      <c r="J11" s="122"/>
      <c r="L11" s="109"/>
      <c r="M11" s="124"/>
      <c r="N11" s="109"/>
      <c r="O11" s="108"/>
      <c r="Q11" s="105"/>
      <c r="R11" s="105"/>
    </row>
    <row r="12" spans="1:18" s="106" customFormat="1" ht="15">
      <c r="A12" s="105"/>
      <c r="B12"/>
      <c r="C12"/>
      <c r="D12"/>
      <c r="E12" s="123"/>
      <c r="G12" s="102"/>
      <c r="H12" s="125"/>
      <c r="I12" s="107"/>
      <c r="J12" s="122"/>
      <c r="L12" s="109"/>
      <c r="M12" s="124"/>
      <c r="N12" s="109"/>
      <c r="O12" s="108"/>
      <c r="Q12" s="105"/>
      <c r="R12" s="105"/>
    </row>
    <row r="13" spans="1:22" s="106" customFormat="1" ht="15">
      <c r="A13" s="105"/>
      <c r="F13" s="105"/>
      <c r="H13" s="132"/>
      <c r="I13" s="129"/>
      <c r="K13" s="108"/>
      <c r="L13" s="133"/>
      <c r="M13" s="128"/>
      <c r="N13" s="109"/>
      <c r="O13" s="128"/>
      <c r="P13" s="128"/>
      <c r="Q13" s="105"/>
      <c r="R13" s="105"/>
      <c r="V13" s="105"/>
    </row>
    <row r="14" spans="1:22" s="106" customFormat="1" ht="15.75">
      <c r="A14" s="105"/>
      <c r="B14" s="6" t="s">
        <v>181</v>
      </c>
      <c r="C14" s="107">
        <f>Ballast!B14</f>
        <v>50953.0369198003</v>
      </c>
      <c r="D14" s="106" t="s">
        <v>182</v>
      </c>
      <c r="E14" s="134" t="s">
        <v>183</v>
      </c>
      <c r="F14" s="135" t="s">
        <v>184</v>
      </c>
      <c r="G14" s="123"/>
      <c r="H14" s="136"/>
      <c r="I14" s="137"/>
      <c r="J14" s="138"/>
      <c r="K14" s="108"/>
      <c r="L14" s="133"/>
      <c r="M14" s="128"/>
      <c r="N14" s="109"/>
      <c r="O14" s="128"/>
      <c r="P14" s="128"/>
      <c r="Q14" s="105"/>
      <c r="R14" s="105"/>
      <c r="V14" s="105"/>
    </row>
    <row r="15" spans="1:22" s="106" customFormat="1" ht="15">
      <c r="A15" s="105"/>
      <c r="B15" s="6" t="s">
        <v>185</v>
      </c>
      <c r="C15" s="139">
        <f>K52</f>
        <v>51228.905599934085</v>
      </c>
      <c r="D15" s="122" t="s">
        <v>182</v>
      </c>
      <c r="E15" s="140">
        <f>Displaced_Volume-C14</f>
        <v>275.8686801337826</v>
      </c>
      <c r="F15" s="122"/>
      <c r="G15" s="123"/>
      <c r="H15" s="136"/>
      <c r="I15" s="137"/>
      <c r="J15" s="138"/>
      <c r="K15" s="108"/>
      <c r="L15" s="133"/>
      <c r="M15" s="128"/>
      <c r="N15" s="109"/>
      <c r="O15" s="128"/>
      <c r="P15" s="128"/>
      <c r="Q15" s="105"/>
      <c r="R15" s="105"/>
      <c r="V15" s="105"/>
    </row>
    <row r="16" spans="1:22" s="106" customFormat="1" ht="15">
      <c r="A16" s="105"/>
      <c r="B16" s="6"/>
      <c r="C16" s="136"/>
      <c r="D16" s="101"/>
      <c r="E16" s="103"/>
      <c r="F16" s="105"/>
      <c r="G16" s="123"/>
      <c r="H16" s="136"/>
      <c r="I16" s="137"/>
      <c r="J16" s="138"/>
      <c r="K16" s="108"/>
      <c r="L16" s="133"/>
      <c r="M16" s="128"/>
      <c r="N16" s="109"/>
      <c r="O16" s="128"/>
      <c r="P16" s="128"/>
      <c r="Q16" s="105"/>
      <c r="R16" s="105"/>
      <c r="V16" s="105"/>
    </row>
    <row r="17" spans="1:22" s="106" customFormat="1" ht="15">
      <c r="A17" s="105"/>
      <c r="B17" s="141" t="s">
        <v>186</v>
      </c>
      <c r="C17" s="142">
        <v>1.0275</v>
      </c>
      <c r="D17" s="115" t="s">
        <v>187</v>
      </c>
      <c r="E17" s="103"/>
      <c r="F17" s="105"/>
      <c r="G17" s="123"/>
      <c r="J17" s="108"/>
      <c r="K17" s="108"/>
      <c r="L17" s="133"/>
      <c r="M17" s="128"/>
      <c r="N17" s="109"/>
      <c r="O17" s="128"/>
      <c r="P17" s="128"/>
      <c r="Q17" s="105"/>
      <c r="R17" s="105"/>
      <c r="V17" s="105"/>
    </row>
    <row r="18" spans="1:22" s="106" customFormat="1" ht="15.75">
      <c r="A18" s="105"/>
      <c r="B18" s="6" t="s">
        <v>188</v>
      </c>
      <c r="C18" s="107">
        <f>Displaced_Volume*rho_2-Total_Weight_In_Air</f>
        <v>-686.8994960677228</v>
      </c>
      <c r="D18" s="106" t="s">
        <v>182</v>
      </c>
      <c r="F18" s="135" t="s">
        <v>189</v>
      </c>
      <c r="G18" s="123"/>
      <c r="H18" s="125"/>
      <c r="I18" s="107"/>
      <c r="J18" s="143"/>
      <c r="K18" s="108"/>
      <c r="L18" s="133"/>
      <c r="M18" s="128"/>
      <c r="N18" s="109"/>
      <c r="O18" s="128"/>
      <c r="P18" s="128"/>
      <c r="Q18" s="105"/>
      <c r="R18" s="105"/>
      <c r="V18" s="105"/>
    </row>
    <row r="19" spans="2:27" s="111" customFormat="1" ht="15.75">
      <c r="B19" s="144" t="s">
        <v>190</v>
      </c>
      <c r="C19" s="145">
        <v>0.648</v>
      </c>
      <c r="D19" s="108"/>
      <c r="E19" s="146">
        <f>Cal!C43+C19*(Cal!C44-Cal!C43)</f>
        <v>2728.152</v>
      </c>
      <c r="F19" s="147" t="s">
        <v>191</v>
      </c>
      <c r="G19" s="147" t="s">
        <v>192</v>
      </c>
      <c r="J19" s="148"/>
      <c r="K19" s="149"/>
      <c r="L19" s="150"/>
      <c r="M19" s="108"/>
      <c r="N19" s="149"/>
      <c r="O19" s="150"/>
      <c r="P19" s="108"/>
      <c r="Q19" s="130"/>
      <c r="R19" s="109"/>
      <c r="S19" s="106"/>
      <c r="T19" s="106"/>
      <c r="U19" s="106"/>
      <c r="W19" s="106"/>
      <c r="X19" s="106"/>
      <c r="Y19" s="106"/>
      <c r="Z19" s="106"/>
      <c r="AA19" s="106"/>
    </row>
    <row r="20" spans="2:27" s="111" customFormat="1" ht="15.75">
      <c r="B20" s="151"/>
      <c r="C20" s="152"/>
      <c r="D20" s="108"/>
      <c r="E20" s="108"/>
      <c r="F20" s="109"/>
      <c r="G20"/>
      <c r="H20"/>
      <c r="I20"/>
      <c r="J20" s="148"/>
      <c r="K20" s="149"/>
      <c r="L20" s="150"/>
      <c r="M20" s="108"/>
      <c r="N20" s="149"/>
      <c r="O20" s="150"/>
      <c r="P20" s="108"/>
      <c r="Q20" s="130"/>
      <c r="R20" s="109"/>
      <c r="S20" s="106"/>
      <c r="T20" s="106"/>
      <c r="U20" s="106"/>
      <c r="W20" s="106"/>
      <c r="X20" s="106"/>
      <c r="Y20" s="106"/>
      <c r="Z20" s="106"/>
      <c r="AA20" s="106"/>
    </row>
    <row r="21" spans="2:27" s="111" customFormat="1" ht="15.75">
      <c r="B21" s="151"/>
      <c r="C21" s="152"/>
      <c r="D21" s="108"/>
      <c r="E21" s="108"/>
      <c r="G21" s="11" t="s">
        <v>193</v>
      </c>
      <c r="H21" s="153">
        <v>0.00167</v>
      </c>
      <c r="I21" s="154" t="s">
        <v>194</v>
      </c>
      <c r="J21" s="148"/>
      <c r="K21" s="149"/>
      <c r="L21" s="150"/>
      <c r="M21" s="108"/>
      <c r="N21" s="149"/>
      <c r="O21" s="150"/>
      <c r="P21" s="108"/>
      <c r="Q21" s="130"/>
      <c r="R21" s="109"/>
      <c r="S21" s="106"/>
      <c r="T21" s="106"/>
      <c r="U21" s="106"/>
      <c r="W21" s="106"/>
      <c r="X21" s="106"/>
      <c r="Y21" s="106"/>
      <c r="Z21" s="106"/>
      <c r="AA21" s="106"/>
    </row>
    <row r="22" spans="2:27" s="111" customFormat="1" ht="15.75">
      <c r="B22" s="155" t="s">
        <v>195</v>
      </c>
      <c r="C22" s="152"/>
      <c r="D22" s="108"/>
      <c r="E22" s="108"/>
      <c r="F22" s="109"/>
      <c r="G22" s="156"/>
      <c r="H22" s="157"/>
      <c r="L22" s="150"/>
      <c r="M22" s="108"/>
      <c r="N22" s="149"/>
      <c r="O22" s="150"/>
      <c r="P22" s="108"/>
      <c r="Q22" s="130"/>
      <c r="R22" s="109"/>
      <c r="S22" s="106"/>
      <c r="T22" s="106"/>
      <c r="U22" s="106"/>
      <c r="W22" s="106"/>
      <c r="X22" s="106"/>
      <c r="Y22" s="106"/>
      <c r="Z22" s="106"/>
      <c r="AA22" s="106"/>
    </row>
    <row r="23" spans="1:22" s="106" customFormat="1" ht="15">
      <c r="A23" s="105"/>
      <c r="B23" s="6" t="s">
        <v>196</v>
      </c>
      <c r="C23" s="158">
        <f>Total_Moment_LCG/Total_Weight</f>
        <v>88.53513516957561</v>
      </c>
      <c r="D23" s="105" t="s">
        <v>197</v>
      </c>
      <c r="E23" s="159">
        <f>C23/2.54</f>
        <v>34.85635242896677</v>
      </c>
      <c r="F23" s="122" t="s">
        <v>198</v>
      </c>
      <c r="M23" s="108"/>
      <c r="N23" s="108"/>
      <c r="O23" s="108"/>
      <c r="P23" s="108"/>
      <c r="R23" s="105"/>
      <c r="V23" s="105"/>
    </row>
    <row r="24" spans="1:22" s="106" customFormat="1" ht="15">
      <c r="A24" s="105"/>
      <c r="B24" s="6" t="s">
        <v>199</v>
      </c>
      <c r="C24" s="160">
        <f>Total_Moment_LCB/Displaced_Volume</f>
        <v>89.25624788800769</v>
      </c>
      <c r="D24" s="105" t="s">
        <v>197</v>
      </c>
      <c r="E24" s="159">
        <f>C24/2.54</f>
        <v>35.140255074018775</v>
      </c>
      <c r="F24" s="161" t="s">
        <v>198</v>
      </c>
      <c r="G24" s="158"/>
      <c r="J24" s="108"/>
      <c r="O24" s="108"/>
      <c r="R24" s="105"/>
      <c r="V24" s="105"/>
    </row>
    <row r="25" spans="1:22" s="106" customFormat="1" ht="15">
      <c r="A25" s="105"/>
      <c r="B25" s="6" t="s">
        <v>200</v>
      </c>
      <c r="C25" s="158">
        <f>C23-C24</f>
        <v>-0.7211127184320816</v>
      </c>
      <c r="D25" s="105" t="s">
        <v>197</v>
      </c>
      <c r="F25" s="105"/>
      <c r="J25" s="108"/>
      <c r="O25" s="108"/>
      <c r="R25" s="105"/>
      <c r="V25" s="105"/>
    </row>
    <row r="26" spans="1:22" s="106" customFormat="1" ht="15">
      <c r="A26" s="105"/>
      <c r="B26" s="144" t="s">
        <v>201</v>
      </c>
      <c r="C26" s="145">
        <v>0.7580975902552485</v>
      </c>
      <c r="D26" s="151"/>
      <c r="E26" s="146">
        <f>Cal!C13+stroke_2*(Cal!C14-Cal!C13)</f>
        <v>2965.4953153151732</v>
      </c>
      <c r="F26" s="147" t="s">
        <v>191</v>
      </c>
      <c r="G26" s="147" t="s">
        <v>192</v>
      </c>
      <c r="J26" s="162"/>
      <c r="K26" s="163"/>
      <c r="O26" s="108"/>
      <c r="R26" s="105"/>
      <c r="V26" s="105"/>
    </row>
    <row r="27" spans="1:22" s="106" customFormat="1" ht="15">
      <c r="A27" s="105"/>
      <c r="B27" s="144" t="s">
        <v>202</v>
      </c>
      <c r="C27" s="164">
        <f>stroke_2*15.32</f>
        <v>11.614055082710406</v>
      </c>
      <c r="D27" s="151" t="s">
        <v>197</v>
      </c>
      <c r="J27" s="164"/>
      <c r="O27" s="108"/>
      <c r="R27" s="105"/>
      <c r="V27" s="105"/>
    </row>
    <row r="28" spans="1:22" s="106" customFormat="1" ht="15">
      <c r="A28" s="105"/>
      <c r="B28" s="144" t="s">
        <v>203</v>
      </c>
      <c r="C28" s="165">
        <f>DEGREES(ATAN(C25/C32))</f>
        <v>-48.265417612063175</v>
      </c>
      <c r="D28" s="151" t="s">
        <v>204</v>
      </c>
      <c r="E28" s="147" t="s">
        <v>205</v>
      </c>
      <c r="F28" s="109"/>
      <c r="G28" s="144"/>
      <c r="H28" s="166"/>
      <c r="I28" s="147"/>
      <c r="J28" s="164"/>
      <c r="O28" s="108"/>
      <c r="R28" s="105"/>
      <c r="V28" s="105"/>
    </row>
    <row r="29" spans="1:22" s="106" customFormat="1" ht="15">
      <c r="A29" s="105"/>
      <c r="F29" s="109"/>
      <c r="G29" s="144"/>
      <c r="H29" s="166"/>
      <c r="I29" s="147"/>
      <c r="J29" s="164"/>
      <c r="O29" s="108"/>
      <c r="R29" s="105"/>
      <c r="V29" s="105"/>
    </row>
    <row r="30" spans="1:22" s="106" customFormat="1" ht="15">
      <c r="A30" s="105"/>
      <c r="B30" s="130" t="s">
        <v>206</v>
      </c>
      <c r="C30" s="167">
        <f>Tot_mom_VCG/Total_Weight_In_Air</f>
        <v>-0.5904134796322903</v>
      </c>
      <c r="D30" s="109" t="s">
        <v>197</v>
      </c>
      <c r="E30" s="108" t="s">
        <v>207</v>
      </c>
      <c r="F30" s="108"/>
      <c r="G30" s="108"/>
      <c r="H30" s="109"/>
      <c r="I30" s="108"/>
      <c r="J30" s="108"/>
      <c r="K30" s="108"/>
      <c r="L30" s="168"/>
      <c r="M30" s="124"/>
      <c r="N30" s="108"/>
      <c r="O30" s="108"/>
      <c r="P30" s="130"/>
      <c r="Q30" s="109"/>
      <c r="R30" s="109"/>
      <c r="S30" s="130"/>
      <c r="T30" s="109"/>
      <c r="V30" s="105"/>
    </row>
    <row r="31" spans="1:22" s="170" customFormat="1" ht="15">
      <c r="A31" s="169"/>
      <c r="B31" s="130" t="s">
        <v>208</v>
      </c>
      <c r="C31" s="167">
        <f>Tot_mom_VCB/Displaced_Volume</f>
        <v>0.05285569209672354</v>
      </c>
      <c r="D31" s="109" t="s">
        <v>197</v>
      </c>
      <c r="E31" s="148" t="s">
        <v>209</v>
      </c>
      <c r="G31" s="108"/>
      <c r="H31" s="167"/>
      <c r="I31" s="148"/>
      <c r="J31" s="148"/>
      <c r="K31" s="108"/>
      <c r="L31" s="130"/>
      <c r="M31" s="171"/>
      <c r="N31" s="148"/>
      <c r="O31" s="108"/>
      <c r="P31" s="130"/>
      <c r="Q31" s="172"/>
      <c r="R31" s="109"/>
      <c r="S31" s="130"/>
      <c r="T31" s="173"/>
      <c r="V31" s="169"/>
    </row>
    <row r="32" spans="1:22" s="170" customFormat="1" ht="15">
      <c r="A32" s="169"/>
      <c r="B32" s="130" t="s">
        <v>210</v>
      </c>
      <c r="C32" s="167">
        <f>C31-C30</f>
        <v>0.6432691717290139</v>
      </c>
      <c r="D32" s="109" t="s">
        <v>197</v>
      </c>
      <c r="E32" s="143" t="s">
        <v>211</v>
      </c>
      <c r="G32" s="108"/>
      <c r="H32" s="109"/>
      <c r="J32" s="108"/>
      <c r="K32" s="108"/>
      <c r="L32" s="130"/>
      <c r="M32" s="124"/>
      <c r="N32" s="148"/>
      <c r="O32" s="108"/>
      <c r="P32" s="130"/>
      <c r="Q32" s="124"/>
      <c r="R32" s="109"/>
      <c r="S32" s="130"/>
      <c r="T32" s="174"/>
      <c r="V32" s="169"/>
    </row>
    <row r="33" spans="1:22" s="170" customFormat="1" ht="15">
      <c r="A33" s="169"/>
      <c r="B33" s="144" t="s">
        <v>212</v>
      </c>
      <c r="C33" s="121">
        <v>0</v>
      </c>
      <c r="D33" s="151" t="s">
        <v>204</v>
      </c>
      <c r="E33" s="148"/>
      <c r="F33" s="109"/>
      <c r="G33" s="108"/>
      <c r="H33" s="148"/>
      <c r="I33" s="148"/>
      <c r="J33" s="148"/>
      <c r="K33" s="175"/>
      <c r="L33" s="148"/>
      <c r="M33" s="109"/>
      <c r="N33" s="108"/>
      <c r="O33" s="108"/>
      <c r="P33" s="150"/>
      <c r="Q33" s="176"/>
      <c r="R33" s="151"/>
      <c r="S33" s="148"/>
      <c r="T33" s="148"/>
      <c r="V33" s="169"/>
    </row>
    <row r="34" spans="1:22" s="170" customFormat="1" ht="15">
      <c r="A34" s="169"/>
      <c r="B34" s="130" t="s">
        <v>213</v>
      </c>
      <c r="C34" s="128" t="e">
        <f>NA()</f>
        <v>#N/A</v>
      </c>
      <c r="D34" s="151" t="s">
        <v>204</v>
      </c>
      <c r="E34" s="148" t="s">
        <v>214</v>
      </c>
      <c r="F34" s="109"/>
      <c r="G34" s="108"/>
      <c r="H34" s="130"/>
      <c r="J34" s="151"/>
      <c r="K34" s="175"/>
      <c r="L34" s="148"/>
      <c r="M34" s="109"/>
      <c r="N34" s="108"/>
      <c r="O34" s="108"/>
      <c r="P34" s="150"/>
      <c r="Q34" s="176"/>
      <c r="R34" s="151"/>
      <c r="S34" s="148"/>
      <c r="T34" s="148"/>
      <c r="V34" s="169"/>
    </row>
    <row r="35" spans="1:22" s="170" customFormat="1" ht="15">
      <c r="A35" s="177"/>
      <c r="B35" s="177"/>
      <c r="C35" s="178"/>
      <c r="D35" s="177"/>
      <c r="E35" s="179"/>
      <c r="F35" s="177"/>
      <c r="G35" s="179"/>
      <c r="H35" s="179"/>
      <c r="I35" s="180"/>
      <c r="J35" s="181"/>
      <c r="K35" s="177"/>
      <c r="L35" s="182"/>
      <c r="M35" s="178"/>
      <c r="N35" s="183"/>
      <c r="O35" s="179"/>
      <c r="P35" s="184"/>
      <c r="Q35" s="185"/>
      <c r="R35" s="177"/>
      <c r="V35" s="169"/>
    </row>
    <row r="36" spans="2:27" s="186" customFormat="1" ht="16.5" customHeight="1">
      <c r="B36" s="8"/>
      <c r="C36" s="10"/>
      <c r="D36" s="187"/>
      <c r="E36" s="8"/>
      <c r="F36" s="186" t="s">
        <v>215</v>
      </c>
      <c r="H36" s="8"/>
      <c r="I36" s="186" t="s">
        <v>216</v>
      </c>
      <c r="J36" s="188"/>
      <c r="K36" s="8"/>
      <c r="L36" s="8"/>
      <c r="M36" s="8"/>
      <c r="N36" s="186" t="s">
        <v>216</v>
      </c>
      <c r="O36" s="189"/>
      <c r="P36" s="8"/>
      <c r="Q36" s="186" t="s">
        <v>216</v>
      </c>
      <c r="R36" s="186" t="s">
        <v>216</v>
      </c>
      <c r="S36" s="8"/>
      <c r="T36" s="8"/>
      <c r="U36" s="8"/>
      <c r="W36" s="8"/>
      <c r="X36" s="8"/>
      <c r="Y36" s="8"/>
      <c r="Z36" s="8"/>
      <c r="AA36" s="8"/>
    </row>
    <row r="37" spans="1:27" s="186" customFormat="1" ht="16.5" customHeight="1">
      <c r="A37" s="186" t="s">
        <v>217</v>
      </c>
      <c r="C37" s="186" t="s">
        <v>218</v>
      </c>
      <c r="D37" s="190" t="s">
        <v>219</v>
      </c>
      <c r="E37" s="191" t="s">
        <v>220</v>
      </c>
      <c r="F37" s="192" t="s">
        <v>220</v>
      </c>
      <c r="G37" s="193" t="s">
        <v>221</v>
      </c>
      <c r="H37" s="186" t="s">
        <v>221</v>
      </c>
      <c r="I37" s="186" t="s">
        <v>221</v>
      </c>
      <c r="J37" s="194" t="s">
        <v>222</v>
      </c>
      <c r="K37" s="186" t="s">
        <v>223</v>
      </c>
      <c r="L37" s="193" t="s">
        <v>224</v>
      </c>
      <c r="M37" s="186" t="s">
        <v>224</v>
      </c>
      <c r="N37" s="186" t="s">
        <v>224</v>
      </c>
      <c r="O37" s="195" t="s">
        <v>225</v>
      </c>
      <c r="P37" s="186" t="s">
        <v>225</v>
      </c>
      <c r="Q37" s="186" t="s">
        <v>226</v>
      </c>
      <c r="R37" s="186" t="s">
        <v>227</v>
      </c>
      <c r="S37" s="8"/>
      <c r="T37" s="8"/>
      <c r="U37" s="8"/>
      <c r="W37" s="8"/>
      <c r="X37" s="8"/>
      <c r="Y37" s="8"/>
      <c r="Z37" s="8"/>
      <c r="AA37" s="8"/>
    </row>
    <row r="38" spans="1:28" s="203" customFormat="1" ht="16.5" customHeight="1">
      <c r="A38" s="196" t="s">
        <v>228</v>
      </c>
      <c r="B38" s="197" t="s">
        <v>229</v>
      </c>
      <c r="C38" s="197" t="s">
        <v>230</v>
      </c>
      <c r="D38" s="198"/>
      <c r="E38" s="199" t="s">
        <v>231</v>
      </c>
      <c r="F38" s="197" t="s">
        <v>231</v>
      </c>
      <c r="G38" s="200" t="s">
        <v>232</v>
      </c>
      <c r="H38" s="197" t="s">
        <v>197</v>
      </c>
      <c r="I38" s="197" t="s">
        <v>233</v>
      </c>
      <c r="J38" s="201" t="s">
        <v>182</v>
      </c>
      <c r="K38" s="197" t="s">
        <v>182</v>
      </c>
      <c r="L38" s="200" t="s">
        <v>232</v>
      </c>
      <c r="M38" s="197" t="s">
        <v>197</v>
      </c>
      <c r="N38" s="197" t="s">
        <v>234</v>
      </c>
      <c r="O38" s="202" t="s">
        <v>232</v>
      </c>
      <c r="P38" s="197" t="s">
        <v>197</v>
      </c>
      <c r="Q38" s="197" t="s">
        <v>233</v>
      </c>
      <c r="R38" s="197" t="s">
        <v>234</v>
      </c>
      <c r="S38" s="8"/>
      <c r="U38" s="8"/>
      <c r="V38" s="204"/>
      <c r="W38" s="8"/>
      <c r="X38" s="8"/>
      <c r="Y38" s="8"/>
      <c r="Z38" s="8"/>
      <c r="AA38" s="8"/>
      <c r="AB38" s="8"/>
    </row>
    <row r="39" spans="1:28" s="203" customFormat="1" ht="16.5" customHeight="1">
      <c r="A39" s="10"/>
      <c r="B39" s="192"/>
      <c r="C39" s="192"/>
      <c r="D39" s="190"/>
      <c r="E39" s="205"/>
      <c r="F39" s="192"/>
      <c r="G39" s="206"/>
      <c r="H39" s="192"/>
      <c r="I39" s="192"/>
      <c r="J39" s="194"/>
      <c r="K39" s="192"/>
      <c r="L39" s="206"/>
      <c r="M39" s="192"/>
      <c r="N39" s="192"/>
      <c r="O39" s="195"/>
      <c r="P39" s="192"/>
      <c r="Q39" s="192"/>
      <c r="R39" s="192"/>
      <c r="S39" s="8"/>
      <c r="U39" s="8"/>
      <c r="V39" s="204"/>
      <c r="W39" s="8"/>
      <c r="X39" s="8"/>
      <c r="Y39" s="8"/>
      <c r="Z39" s="8"/>
      <c r="AA39" s="8"/>
      <c r="AB39" s="8"/>
    </row>
    <row r="40" spans="1:28" s="208" customFormat="1" ht="16.5" customHeight="1">
      <c r="A40" s="186"/>
      <c r="B40" s="207" t="s">
        <v>235</v>
      </c>
      <c r="D40" s="190"/>
      <c r="E40" s="209"/>
      <c r="F40" s="210"/>
      <c r="G40" s="193"/>
      <c r="H40" s="186"/>
      <c r="J40" s="194"/>
      <c r="K40" s="186"/>
      <c r="L40" s="193"/>
      <c r="M40" s="186"/>
      <c r="O40" s="195"/>
      <c r="P40" s="186"/>
      <c r="R40" s="186"/>
      <c r="S40" s="211"/>
      <c r="U40" s="211"/>
      <c r="V40" s="212"/>
      <c r="W40" s="211"/>
      <c r="X40" s="211"/>
      <c r="Y40" s="211"/>
      <c r="Z40" s="211"/>
      <c r="AA40" s="211"/>
      <c r="AB40" s="211"/>
    </row>
    <row r="41" spans="1:28" s="208" customFormat="1" ht="16.5" customHeight="1">
      <c r="A41" s="186"/>
      <c r="B41" s="6" t="s">
        <v>236</v>
      </c>
      <c r="C41" s="210">
        <f>C59+C84</f>
        <v>13926.400000000001</v>
      </c>
      <c r="D41" s="213" t="s">
        <v>177</v>
      </c>
      <c r="E41" s="214" t="s">
        <v>183</v>
      </c>
      <c r="F41" s="215"/>
      <c r="G41" s="193"/>
      <c r="H41" s="186"/>
      <c r="J41" s="194"/>
      <c r="K41" s="186"/>
      <c r="L41" s="193"/>
      <c r="M41" s="186"/>
      <c r="O41" s="195"/>
      <c r="P41" s="186"/>
      <c r="R41" s="186"/>
      <c r="S41" s="211"/>
      <c r="U41" s="211"/>
      <c r="V41" s="212"/>
      <c r="W41" s="211"/>
      <c r="X41" s="211"/>
      <c r="Y41" s="211"/>
      <c r="Z41" s="211"/>
      <c r="AA41" s="211"/>
      <c r="AB41" s="211"/>
    </row>
    <row r="42" spans="1:28" s="208" customFormat="1" ht="16.5" customHeight="1">
      <c r="A42" s="186"/>
      <c r="B42" s="141" t="s">
        <v>237</v>
      </c>
      <c r="C42" s="216">
        <f>C60+C85</f>
        <v>13915</v>
      </c>
      <c r="D42" s="213" t="s">
        <v>177</v>
      </c>
      <c r="E42" s="217">
        <f>C42-C41</f>
        <v>-11.400000000001455</v>
      </c>
      <c r="F42" s="215"/>
      <c r="G42" s="193"/>
      <c r="H42" s="186"/>
      <c r="J42" s="194"/>
      <c r="K42" s="186"/>
      <c r="L42" s="193"/>
      <c r="M42" s="186"/>
      <c r="O42" s="195"/>
      <c r="P42" s="186"/>
      <c r="R42" s="186"/>
      <c r="S42" s="211"/>
      <c r="U42" s="211"/>
      <c r="V42" s="212"/>
      <c r="W42" s="211"/>
      <c r="X42" s="211"/>
      <c r="Y42" s="211"/>
      <c r="Z42" s="211"/>
      <c r="AA42" s="211"/>
      <c r="AB42" s="211"/>
    </row>
    <row r="43" spans="1:27" s="203" customFormat="1" ht="16.5" customHeight="1">
      <c r="A43" s="10"/>
      <c r="B43" s="207" t="s">
        <v>238</v>
      </c>
      <c r="C43" s="210">
        <f>SUM(K61:K128)</f>
        <v>8468.944533284044</v>
      </c>
      <c r="D43" s="188" t="s">
        <v>182</v>
      </c>
      <c r="G43" s="218"/>
      <c r="H43" s="8"/>
      <c r="I43" s="10"/>
      <c r="J43" s="219"/>
      <c r="K43" s="204"/>
      <c r="L43" s="220"/>
      <c r="M43" s="8"/>
      <c r="N43" s="204"/>
      <c r="O43" s="221"/>
      <c r="P43" s="204"/>
      <c r="Q43" s="204"/>
      <c r="R43" s="204"/>
      <c r="S43" s="8"/>
      <c r="T43" s="8"/>
      <c r="U43" s="8"/>
      <c r="V43" s="204"/>
      <c r="W43" s="8"/>
      <c r="X43" s="8"/>
      <c r="Y43" s="8"/>
      <c r="Z43" s="8"/>
      <c r="AA43" s="8"/>
    </row>
    <row r="44" spans="1:27" s="203" customFormat="1" ht="16.5" customHeight="1">
      <c r="A44" s="10"/>
      <c r="B44" s="208"/>
      <c r="C44" s="210"/>
      <c r="D44" s="188"/>
      <c r="E44" s="222" t="s">
        <v>239</v>
      </c>
      <c r="F44" s="223">
        <f>E42+E47</f>
        <v>8.299999999995634</v>
      </c>
      <c r="G44" s="218"/>
      <c r="H44" s="8"/>
      <c r="I44" s="10"/>
      <c r="J44" s="219"/>
      <c r="K44" s="204"/>
      <c r="L44" s="220"/>
      <c r="M44" s="8"/>
      <c r="N44" s="204"/>
      <c r="O44" s="221"/>
      <c r="P44" s="204"/>
      <c r="Q44" s="204"/>
      <c r="R44" s="204"/>
      <c r="S44" s="8"/>
      <c r="T44" s="8"/>
      <c r="U44" s="8"/>
      <c r="V44" s="204"/>
      <c r="W44" s="8"/>
      <c r="X44" s="8"/>
      <c r="Y44" s="8"/>
      <c r="Z44" s="8"/>
      <c r="AA44" s="8"/>
    </row>
    <row r="45" spans="1:27" s="203" customFormat="1" ht="16.5" customHeight="1">
      <c r="A45" s="10"/>
      <c r="B45" s="207" t="s">
        <v>240</v>
      </c>
      <c r="C45" s="208"/>
      <c r="D45" s="190"/>
      <c r="E45" s="209"/>
      <c r="G45" s="218"/>
      <c r="H45" s="8"/>
      <c r="I45" s="10"/>
      <c r="J45" s="219"/>
      <c r="K45" s="204"/>
      <c r="L45" s="220"/>
      <c r="M45" s="8"/>
      <c r="N45" s="204"/>
      <c r="O45" s="221"/>
      <c r="P45" s="204"/>
      <c r="Q45" s="204"/>
      <c r="R45" s="204"/>
      <c r="S45" s="8"/>
      <c r="T45" s="8"/>
      <c r="U45" s="8"/>
      <c r="V45" s="204"/>
      <c r="W45" s="8"/>
      <c r="X45" s="8"/>
      <c r="Y45" s="8"/>
      <c r="Z45" s="8"/>
      <c r="AA45" s="8"/>
    </row>
    <row r="46" spans="1:27" s="203" customFormat="1" ht="16.5" customHeight="1">
      <c r="A46" s="10"/>
      <c r="B46" s="6" t="s">
        <v>236</v>
      </c>
      <c r="C46" s="210">
        <f>C132</f>
        <v>36889.3</v>
      </c>
      <c r="D46" s="213" t="s">
        <v>177</v>
      </c>
      <c r="E46" s="214" t="s">
        <v>183</v>
      </c>
      <c r="G46" s="218"/>
      <c r="H46" s="8"/>
      <c r="I46" s="10"/>
      <c r="J46" s="219"/>
      <c r="K46" s="204"/>
      <c r="L46" s="220"/>
      <c r="M46" s="8"/>
      <c r="N46" s="204"/>
      <c r="O46" s="221"/>
      <c r="P46" s="204"/>
      <c r="Q46" s="204"/>
      <c r="R46" s="204"/>
      <c r="S46" s="8"/>
      <c r="T46" s="8"/>
      <c r="U46" s="8"/>
      <c r="V46" s="204"/>
      <c r="W46" s="8"/>
      <c r="X46" s="8"/>
      <c r="Y46" s="8"/>
      <c r="Z46" s="8"/>
      <c r="AA46" s="8"/>
    </row>
    <row r="47" spans="1:27" s="203" customFormat="1" ht="16.5" customHeight="1">
      <c r="A47" s="10"/>
      <c r="B47" s="141" t="s">
        <v>237</v>
      </c>
      <c r="C47" s="216">
        <f>C133</f>
        <v>36909</v>
      </c>
      <c r="D47" s="213" t="s">
        <v>177</v>
      </c>
      <c r="E47" s="217">
        <f>C47-C46</f>
        <v>19.69999999999709</v>
      </c>
      <c r="G47" s="218"/>
      <c r="H47" s="8"/>
      <c r="I47" s="10"/>
      <c r="J47" s="219"/>
      <c r="K47" s="204"/>
      <c r="L47" s="220"/>
      <c r="M47" s="8"/>
      <c r="N47" s="204"/>
      <c r="O47" s="221"/>
      <c r="P47" s="204"/>
      <c r="Q47" s="204"/>
      <c r="R47" s="204"/>
      <c r="S47" s="8"/>
      <c r="T47" s="8"/>
      <c r="U47" s="8"/>
      <c r="V47" s="204"/>
      <c r="W47" s="8"/>
      <c r="X47" s="8"/>
      <c r="Y47" s="8"/>
      <c r="Z47" s="8"/>
      <c r="AA47" s="8"/>
    </row>
    <row r="48" spans="1:27" s="203" customFormat="1" ht="16.5" customHeight="1">
      <c r="A48" s="10"/>
      <c r="B48" s="207" t="s">
        <v>238</v>
      </c>
      <c r="C48" s="212">
        <f>SUM(K133:K417)+SUM(K55:K56)</f>
        <v>42759.96106665004</v>
      </c>
      <c r="D48" s="188" t="s">
        <v>182</v>
      </c>
      <c r="G48" s="218"/>
      <c r="H48" s="8"/>
      <c r="I48" s="10"/>
      <c r="J48" s="219"/>
      <c r="K48" s="204"/>
      <c r="L48" s="220"/>
      <c r="M48" s="8"/>
      <c r="N48" s="204"/>
      <c r="O48" s="221"/>
      <c r="P48" s="204"/>
      <c r="Q48" s="204"/>
      <c r="R48" s="204"/>
      <c r="S48" s="8"/>
      <c r="T48" s="8"/>
      <c r="U48" s="8"/>
      <c r="V48" s="204"/>
      <c r="W48" s="8"/>
      <c r="X48" s="8"/>
      <c r="Y48" s="8"/>
      <c r="Z48" s="8"/>
      <c r="AA48" s="8"/>
    </row>
    <row r="49" spans="1:27" s="203" customFormat="1" ht="16.5" customHeight="1">
      <c r="A49" s="10"/>
      <c r="B49" s="207"/>
      <c r="D49" s="188"/>
      <c r="E49" s="222"/>
      <c r="F49" s="223"/>
      <c r="G49" s="218"/>
      <c r="H49" s="8"/>
      <c r="I49" s="10"/>
      <c r="J49" s="219"/>
      <c r="K49" s="204"/>
      <c r="L49" s="220"/>
      <c r="M49" s="8"/>
      <c r="N49" s="204"/>
      <c r="O49" s="221"/>
      <c r="P49" s="204"/>
      <c r="Q49" s="204"/>
      <c r="R49" s="204"/>
      <c r="S49" s="8"/>
      <c r="T49" s="8"/>
      <c r="U49" s="8"/>
      <c r="V49" s="204"/>
      <c r="W49" s="8"/>
      <c r="X49" s="8"/>
      <c r="Y49" s="8"/>
      <c r="Z49" s="8"/>
      <c r="AA49" s="8"/>
    </row>
    <row r="50" spans="1:27" s="203" customFormat="1" ht="16.5" customHeight="1">
      <c r="A50" s="10"/>
      <c r="C50" s="207" t="s">
        <v>241</v>
      </c>
      <c r="D50" s="188"/>
      <c r="F50" s="224">
        <f>SUM(F54:F417)</f>
        <v>53294.1</v>
      </c>
      <c r="G50" s="224"/>
      <c r="H50" s="224"/>
      <c r="I50" s="224">
        <f>SUM(I54:I417)</f>
        <v>4732790.79469825</v>
      </c>
      <c r="J50" s="224"/>
      <c r="K50" s="224">
        <f>SUM(K54:K417)</f>
        <v>51228.905599934085</v>
      </c>
      <c r="L50" s="224"/>
      <c r="M50" s="224"/>
      <c r="N50" s="224">
        <f>SUM(N54:N417)</f>
        <v>4572499.897259062</v>
      </c>
      <c r="O50" s="224"/>
      <c r="P50" s="224"/>
      <c r="Q50" s="224">
        <f>SUM(Q54:Q417)</f>
        <v>-31483.562636000024</v>
      </c>
      <c r="R50" s="224">
        <f>SUM(R54:R417)</f>
        <v>2707.7392608422324</v>
      </c>
      <c r="S50" s="8"/>
      <c r="T50" s="8"/>
      <c r="U50" s="8"/>
      <c r="V50" s="204"/>
      <c r="W50" s="8"/>
      <c r="X50" s="8"/>
      <c r="Y50" s="8"/>
      <c r="Z50" s="8"/>
      <c r="AA50" s="8"/>
    </row>
    <row r="51" spans="1:28" s="203" customFormat="1" ht="16.5" customHeight="1">
      <c r="A51" s="10"/>
      <c r="C51" s="225" t="s">
        <v>242</v>
      </c>
      <c r="D51" s="219"/>
      <c r="E51" s="226"/>
      <c r="F51" s="226">
        <v>30.5</v>
      </c>
      <c r="G51" s="227">
        <v>-150.8987457686553</v>
      </c>
      <c r="H51" s="228">
        <f>G51*2.54</f>
        <v>-383.2828142523844</v>
      </c>
      <c r="I51" s="229">
        <f>F51*H51</f>
        <v>-11690.125834697725</v>
      </c>
      <c r="J51" s="230">
        <v>0</v>
      </c>
      <c r="K51" s="229">
        <f>J51*D51</f>
        <v>0</v>
      </c>
      <c r="L51" s="227">
        <v>0</v>
      </c>
      <c r="M51" s="228">
        <f>L51*2.54</f>
        <v>0</v>
      </c>
      <c r="N51" s="229">
        <f>K51*M51</f>
        <v>0</v>
      </c>
      <c r="O51" s="231">
        <v>0</v>
      </c>
      <c r="P51" s="228">
        <f>O51*2.54</f>
        <v>0</v>
      </c>
      <c r="Q51" s="229">
        <f>F51*P51</f>
        <v>0</v>
      </c>
      <c r="R51" s="228">
        <f>K51*P51</f>
        <v>0</v>
      </c>
      <c r="S51" s="8"/>
      <c r="U51" s="8"/>
      <c r="V51" s="204"/>
      <c r="W51" s="8"/>
      <c r="X51" s="8"/>
      <c r="Y51" s="8"/>
      <c r="Z51" s="8"/>
      <c r="AA51" s="8"/>
      <c r="AB51" s="8"/>
    </row>
    <row r="52" spans="1:27" s="203" customFormat="1" ht="16.5" customHeight="1">
      <c r="A52" s="10"/>
      <c r="C52" s="232" t="s">
        <v>243</v>
      </c>
      <c r="D52" s="188"/>
      <c r="F52" s="233">
        <f>SUM(F49:F51)</f>
        <v>53324.6</v>
      </c>
      <c r="G52" s="233"/>
      <c r="H52" s="233"/>
      <c r="I52" s="233">
        <f>SUM(I50:I51)</f>
        <v>4721100.668863552</v>
      </c>
      <c r="J52" s="234"/>
      <c r="K52" s="233">
        <f>SUM(K50:K51)</f>
        <v>51228.905599934085</v>
      </c>
      <c r="L52" s="233"/>
      <c r="M52" s="233"/>
      <c r="N52" s="233">
        <f>SUM(N50:N51)</f>
        <v>4572499.897259062</v>
      </c>
      <c r="O52" s="234"/>
      <c r="P52" s="233"/>
      <c r="Q52" s="233">
        <f>SUM(Q50:Q51)</f>
        <v>-31483.562636000024</v>
      </c>
      <c r="R52" s="233">
        <f>SUM(R50:R51)</f>
        <v>2707.7392608422324</v>
      </c>
      <c r="S52" s="8"/>
      <c r="T52" s="8"/>
      <c r="U52" s="8"/>
      <c r="V52" s="204"/>
      <c r="W52" s="8"/>
      <c r="X52" s="8"/>
      <c r="Y52" s="8"/>
      <c r="Z52" s="8"/>
      <c r="AA52" s="8"/>
    </row>
    <row r="53" spans="1:27" s="203" customFormat="1" ht="16.5" customHeight="1">
      <c r="A53" s="235"/>
      <c r="B53" s="236"/>
      <c r="C53" s="237"/>
      <c r="D53" s="238"/>
      <c r="E53" s="239"/>
      <c r="F53" s="240"/>
      <c r="G53" s="241"/>
      <c r="H53" s="242"/>
      <c r="I53" s="235"/>
      <c r="J53" s="243"/>
      <c r="K53" s="244"/>
      <c r="L53" s="245"/>
      <c r="M53" s="242"/>
      <c r="N53" s="244"/>
      <c r="O53" s="246"/>
      <c r="P53" s="244"/>
      <c r="Q53" s="244"/>
      <c r="R53" s="244"/>
      <c r="S53" s="8"/>
      <c r="T53" s="8"/>
      <c r="U53" s="8"/>
      <c r="V53" s="204"/>
      <c r="W53" s="8"/>
      <c r="X53" s="8"/>
      <c r="Y53" s="8"/>
      <c r="Z53" s="8"/>
      <c r="AA53" s="8"/>
    </row>
    <row r="54" spans="1:27" s="203" customFormat="1" ht="24.75" customHeight="1">
      <c r="A54" s="186">
        <v>0</v>
      </c>
      <c r="B54" s="247" t="s">
        <v>244</v>
      </c>
      <c r="C54" s="248">
        <v>49801</v>
      </c>
      <c r="D54" s="188"/>
      <c r="E54" s="249"/>
      <c r="F54" s="250"/>
      <c r="G54" s="251"/>
      <c r="H54" s="252"/>
      <c r="I54" s="253"/>
      <c r="J54" s="219"/>
      <c r="K54" s="254"/>
      <c r="L54" s="255"/>
      <c r="M54" s="252"/>
      <c r="N54" s="254"/>
      <c r="O54" s="221"/>
      <c r="P54" s="254"/>
      <c r="Q54" s="254"/>
      <c r="R54" s="254"/>
      <c r="S54" s="8"/>
      <c r="T54" s="8"/>
      <c r="U54" s="8"/>
      <c r="V54" s="204"/>
      <c r="W54" s="8"/>
      <c r="X54" s="8"/>
      <c r="Y54" s="8"/>
      <c r="Z54" s="8"/>
      <c r="AA54" s="8"/>
    </row>
    <row r="55" spans="1:27" s="264" customFormat="1" ht="16.5" customHeight="1">
      <c r="A55" s="256">
        <v>1</v>
      </c>
      <c r="B55" s="257" t="s">
        <v>245</v>
      </c>
      <c r="C55" s="258">
        <v>55240</v>
      </c>
      <c r="D55" s="219">
        <v>1</v>
      </c>
      <c r="E55" s="226">
        <v>11.7</v>
      </c>
      <c r="F55" s="228">
        <f>E55*D55</f>
        <v>11.7</v>
      </c>
      <c r="G55" s="259">
        <v>46</v>
      </c>
      <c r="H55" s="228">
        <f>G55*2.54</f>
        <v>116.84</v>
      </c>
      <c r="I55" s="229">
        <f>F55*H55</f>
        <v>1367.028</v>
      </c>
      <c r="J55" s="260">
        <f>E55/SS_Density</f>
        <v>1.4575806652547652</v>
      </c>
      <c r="K55" s="229">
        <f>J55*D55</f>
        <v>1.4575806652547652</v>
      </c>
      <c r="L55" s="261">
        <f>G55</f>
        <v>46</v>
      </c>
      <c r="M55" s="228">
        <f>L55*2.54</f>
        <v>116.84</v>
      </c>
      <c r="N55" s="229">
        <f>K55*M55</f>
        <v>170.30372492836676</v>
      </c>
      <c r="O55" s="231">
        <v>0</v>
      </c>
      <c r="P55" s="228">
        <f>O55*2.54</f>
        <v>0</v>
      </c>
      <c r="Q55" s="229">
        <f>F55*P55</f>
        <v>0</v>
      </c>
      <c r="R55" s="228">
        <f>K55*P55</f>
        <v>0</v>
      </c>
      <c r="S55" s="262"/>
      <c r="T55" s="262"/>
      <c r="U55" s="262"/>
      <c r="V55" s="263"/>
      <c r="W55" s="262"/>
      <c r="X55" s="262"/>
      <c r="Y55" s="262"/>
      <c r="Z55" s="262"/>
      <c r="AA55" s="262"/>
    </row>
    <row r="56" spans="1:27" s="264" customFormat="1" ht="16.5" customHeight="1">
      <c r="A56" s="256">
        <v>1</v>
      </c>
      <c r="B56" s="257" t="s">
        <v>246</v>
      </c>
      <c r="C56" s="258">
        <v>55294</v>
      </c>
      <c r="D56" s="219">
        <v>1</v>
      </c>
      <c r="E56" s="226">
        <v>27.3</v>
      </c>
      <c r="F56" s="228">
        <f>E56*D56</f>
        <v>27.3</v>
      </c>
      <c r="G56" s="259">
        <v>49.5</v>
      </c>
      <c r="H56" s="228">
        <f>G56*2.54</f>
        <v>125.73</v>
      </c>
      <c r="I56" s="229">
        <f>F56*H56</f>
        <v>3432.429</v>
      </c>
      <c r="J56" s="260">
        <f>E56/SS_Density</f>
        <v>3.401021552261119</v>
      </c>
      <c r="K56" s="229">
        <f>J56*D56</f>
        <v>3.401021552261119</v>
      </c>
      <c r="L56" s="261">
        <f>G56</f>
        <v>49.5</v>
      </c>
      <c r="M56" s="228">
        <f>L56*2.54</f>
        <v>125.73</v>
      </c>
      <c r="N56" s="229">
        <f>K56*M56</f>
        <v>427.61043976579055</v>
      </c>
      <c r="O56" s="231">
        <v>0</v>
      </c>
      <c r="P56" s="228">
        <f>O56*2.54</f>
        <v>0</v>
      </c>
      <c r="Q56" s="229">
        <f>F56*P56</f>
        <v>0</v>
      </c>
      <c r="R56" s="228">
        <f>K56*P56</f>
        <v>0</v>
      </c>
      <c r="S56" s="262"/>
      <c r="T56" s="262"/>
      <c r="U56" s="262"/>
      <c r="V56" s="263"/>
      <c r="W56" s="262"/>
      <c r="X56" s="262"/>
      <c r="Y56" s="262"/>
      <c r="Z56" s="262"/>
      <c r="AA56" s="262"/>
    </row>
    <row r="57" spans="1:27" s="208" customFormat="1" ht="16.5" customHeight="1">
      <c r="A57" s="197"/>
      <c r="B57" s="236"/>
      <c r="C57" s="265"/>
      <c r="D57" s="266"/>
      <c r="E57" s="267"/>
      <c r="F57" s="268"/>
      <c r="G57" s="269"/>
      <c r="H57" s="270"/>
      <c r="I57" s="197"/>
      <c r="J57" s="201"/>
      <c r="K57" s="271"/>
      <c r="L57" s="200"/>
      <c r="M57" s="270"/>
      <c r="N57" s="271"/>
      <c r="O57" s="272"/>
      <c r="P57" s="271"/>
      <c r="Q57" s="271"/>
      <c r="R57" s="271"/>
      <c r="S57" s="211"/>
      <c r="T57" s="211"/>
      <c r="U57" s="211"/>
      <c r="V57" s="212"/>
      <c r="W57" s="211"/>
      <c r="X57" s="211"/>
      <c r="Y57" s="211"/>
      <c r="Z57" s="211"/>
      <c r="AA57" s="211"/>
    </row>
    <row r="58" spans="1:27" s="208" customFormat="1" ht="16.5" customHeight="1">
      <c r="A58" s="186">
        <v>1</v>
      </c>
      <c r="B58" s="208" t="s">
        <v>247</v>
      </c>
      <c r="C58" s="273">
        <v>55494</v>
      </c>
      <c r="D58" s="274"/>
      <c r="E58" s="275"/>
      <c r="F58" s="276"/>
      <c r="G58" s="277"/>
      <c r="H58" s="211"/>
      <c r="I58" s="186"/>
      <c r="J58" s="194"/>
      <c r="K58" s="212"/>
      <c r="L58" s="193"/>
      <c r="M58" s="211"/>
      <c r="N58" s="212"/>
      <c r="O58" s="278"/>
      <c r="P58" s="212"/>
      <c r="Q58" s="212"/>
      <c r="R58" s="212"/>
      <c r="S58" s="211"/>
      <c r="T58" s="211"/>
      <c r="U58" s="211"/>
      <c r="V58" s="212"/>
      <c r="W58" s="211"/>
      <c r="X58" s="211"/>
      <c r="Y58" s="211"/>
      <c r="Z58" s="211"/>
      <c r="AA58" s="211"/>
    </row>
    <row r="59" spans="1:27" s="208" customFormat="1" ht="16.5" customHeight="1">
      <c r="A59" s="186"/>
      <c r="B59" s="6" t="s">
        <v>248</v>
      </c>
      <c r="C59" s="279">
        <f>SUM(F61:F67)</f>
        <v>8445</v>
      </c>
      <c r="D59" s="280" t="s">
        <v>177</v>
      </c>
      <c r="E59" s="214" t="s">
        <v>183</v>
      </c>
      <c r="F59" s="276"/>
      <c r="G59" s="277"/>
      <c r="H59" s="211"/>
      <c r="J59" s="194"/>
      <c r="L59" s="193"/>
      <c r="M59" s="211"/>
      <c r="N59" s="212"/>
      <c r="O59" s="278"/>
      <c r="P59" s="212"/>
      <c r="Q59" s="212"/>
      <c r="R59" s="212"/>
      <c r="S59" s="211"/>
      <c r="T59" s="211"/>
      <c r="U59" s="211"/>
      <c r="V59" s="212"/>
      <c r="W59" s="211"/>
      <c r="X59" s="211"/>
      <c r="Y59" s="211"/>
      <c r="Z59" s="211"/>
      <c r="AA59" s="211"/>
    </row>
    <row r="60" spans="1:32" s="283" customFormat="1" ht="16.5" customHeight="1">
      <c r="A60" s="281"/>
      <c r="B60" s="141" t="s">
        <v>237</v>
      </c>
      <c r="C60" s="227">
        <v>8445</v>
      </c>
      <c r="D60" s="282" t="s">
        <v>177</v>
      </c>
      <c r="E60" s="217">
        <f>C60-C59</f>
        <v>0</v>
      </c>
      <c r="I60" s="284"/>
      <c r="O60" s="285"/>
      <c r="S60" s="286"/>
      <c r="T60" s="287"/>
      <c r="U60" s="288"/>
      <c r="V60" s="289"/>
      <c r="W60" s="290"/>
      <c r="X60" s="291"/>
      <c r="Y60" s="292"/>
      <c r="Z60" s="293"/>
      <c r="AA60" s="289"/>
      <c r="AB60" s="290"/>
      <c r="AC60" s="294"/>
      <c r="AD60" s="228"/>
      <c r="AE60" s="229"/>
      <c r="AF60" s="228"/>
    </row>
    <row r="61" spans="1:22" s="297" customFormat="1" ht="16.5" customHeight="1">
      <c r="A61" s="295">
        <v>2</v>
      </c>
      <c r="B61" s="257" t="s">
        <v>249</v>
      </c>
      <c r="C61" s="256">
        <v>49897</v>
      </c>
      <c r="D61" s="219">
        <v>1</v>
      </c>
      <c r="E61" s="226">
        <v>5242.7</v>
      </c>
      <c r="F61" s="228">
        <f aca="true" t="shared" si="0" ref="F61:F67">E61*D61</f>
        <v>5242.7</v>
      </c>
      <c r="G61" s="296">
        <v>28.22</v>
      </c>
      <c r="H61" s="228">
        <f aca="true" t="shared" si="1" ref="H61:H67">G61*2.54</f>
        <v>71.6788</v>
      </c>
      <c r="I61" s="229">
        <f aca="true" t="shared" si="2" ref="I61:I67">F61*H61</f>
        <v>375790.44476</v>
      </c>
      <c r="J61" s="260">
        <f>E61/Fiberglass_Density</f>
        <v>3753.091852998796</v>
      </c>
      <c r="K61" s="229">
        <f aca="true" t="shared" si="3" ref="K61:K67">J61*D61</f>
        <v>3753.091852998796</v>
      </c>
      <c r="L61" s="261">
        <f aca="true" t="shared" si="4" ref="L61:L67">G61</f>
        <v>28.22</v>
      </c>
      <c r="M61" s="228">
        <f aca="true" t="shared" si="5" ref="M61:M67">L61*2.54</f>
        <v>71.6788</v>
      </c>
      <c r="N61" s="229">
        <f aca="true" t="shared" si="6" ref="N61:N67">K61*M61</f>
        <v>269017.1203127301</v>
      </c>
      <c r="O61" s="231">
        <v>0</v>
      </c>
      <c r="P61" s="228">
        <f aca="true" t="shared" si="7" ref="P61:P67">O61*2.54</f>
        <v>0</v>
      </c>
      <c r="Q61" s="229">
        <f>E61*P61</f>
        <v>0</v>
      </c>
      <c r="R61" s="228">
        <f aca="true" t="shared" si="8" ref="R61:R67">K61*P61</f>
        <v>0</v>
      </c>
      <c r="S61" s="257"/>
      <c r="V61" s="298"/>
    </row>
    <row r="62" spans="1:22" s="297" customFormat="1" ht="33" customHeight="1">
      <c r="A62" s="295">
        <v>2</v>
      </c>
      <c r="B62" s="299" t="s">
        <v>250</v>
      </c>
      <c r="C62" s="256">
        <v>49834</v>
      </c>
      <c r="D62" s="219">
        <v>1</v>
      </c>
      <c r="E62" s="226">
        <v>689.4</v>
      </c>
      <c r="F62" s="228">
        <f t="shared" si="0"/>
        <v>689.4</v>
      </c>
      <c r="G62" s="259">
        <v>45.85</v>
      </c>
      <c r="H62" s="228">
        <f t="shared" si="1"/>
        <v>116.459</v>
      </c>
      <c r="I62" s="229">
        <f t="shared" si="2"/>
        <v>80286.8346</v>
      </c>
      <c r="J62" s="260">
        <f>E62/Alum_density</f>
        <v>254.10984150387023</v>
      </c>
      <c r="K62" s="229">
        <f t="shared" si="3"/>
        <v>254.10984150387023</v>
      </c>
      <c r="L62" s="261">
        <f t="shared" si="4"/>
        <v>45.85</v>
      </c>
      <c r="M62" s="228">
        <f t="shared" si="5"/>
        <v>116.459</v>
      </c>
      <c r="N62" s="229">
        <f t="shared" si="6"/>
        <v>29593.378031699223</v>
      </c>
      <c r="O62" s="231">
        <v>0</v>
      </c>
      <c r="P62" s="228">
        <f t="shared" si="7"/>
        <v>0</v>
      </c>
      <c r="Q62" s="229">
        <f aca="true" t="shared" si="9" ref="Q62:Q67">F62*P62</f>
        <v>0</v>
      </c>
      <c r="R62" s="228">
        <f t="shared" si="8"/>
        <v>0</v>
      </c>
      <c r="V62" s="298"/>
    </row>
    <row r="63" spans="1:27" s="301" customFormat="1" ht="16.5" customHeight="1">
      <c r="A63" s="256">
        <v>2</v>
      </c>
      <c r="B63" s="300" t="s">
        <v>251</v>
      </c>
      <c r="C63" s="295">
        <v>49844</v>
      </c>
      <c r="D63" s="219">
        <v>1</v>
      </c>
      <c r="E63" s="226">
        <v>1254.5</v>
      </c>
      <c r="F63" s="228">
        <f t="shared" si="0"/>
        <v>1254.5</v>
      </c>
      <c r="G63" s="259">
        <v>3.715</v>
      </c>
      <c r="H63" s="228">
        <f t="shared" si="1"/>
        <v>9.4361</v>
      </c>
      <c r="I63" s="229">
        <f t="shared" si="2"/>
        <v>11837.587449999999</v>
      </c>
      <c r="J63" s="260">
        <f>E63/Brass_Density</f>
        <v>149.0790255496138</v>
      </c>
      <c r="K63" s="229">
        <f t="shared" si="3"/>
        <v>149.0790255496138</v>
      </c>
      <c r="L63" s="261">
        <f t="shared" si="4"/>
        <v>3.715</v>
      </c>
      <c r="M63" s="261">
        <f t="shared" si="5"/>
        <v>9.4361</v>
      </c>
      <c r="N63" s="229">
        <f t="shared" si="6"/>
        <v>1406.7245929887106</v>
      </c>
      <c r="O63" s="231">
        <v>0</v>
      </c>
      <c r="P63" s="228">
        <f t="shared" si="7"/>
        <v>0</v>
      </c>
      <c r="Q63" s="229">
        <f t="shared" si="9"/>
        <v>0</v>
      </c>
      <c r="R63" s="228">
        <f t="shared" si="8"/>
        <v>0</v>
      </c>
      <c r="S63" s="257"/>
      <c r="T63" s="257"/>
      <c r="U63" s="257"/>
      <c r="V63" s="229"/>
      <c r="W63" s="257"/>
      <c r="X63" s="257"/>
      <c r="Y63" s="257"/>
      <c r="Z63" s="257"/>
      <c r="AA63" s="257"/>
    </row>
    <row r="64" spans="1:27" s="301" customFormat="1" ht="16.5" customHeight="1">
      <c r="A64" s="256">
        <v>2</v>
      </c>
      <c r="B64" s="302" t="s">
        <v>252</v>
      </c>
      <c r="C64" s="295">
        <v>55448</v>
      </c>
      <c r="D64" s="219">
        <v>1</v>
      </c>
      <c r="E64" s="226">
        <v>1229.9</v>
      </c>
      <c r="F64" s="228">
        <f t="shared" si="0"/>
        <v>1229.9</v>
      </c>
      <c r="G64" s="259">
        <v>3.715</v>
      </c>
      <c r="H64" s="228">
        <f t="shared" si="1"/>
        <v>9.4361</v>
      </c>
      <c r="I64" s="229">
        <f t="shared" si="2"/>
        <v>11605.45939</v>
      </c>
      <c r="J64" s="260">
        <f>E64/Brass_Density</f>
        <v>146.15567439096853</v>
      </c>
      <c r="K64" s="229">
        <f t="shared" si="3"/>
        <v>146.15567439096853</v>
      </c>
      <c r="L64" s="261">
        <f t="shared" si="4"/>
        <v>3.715</v>
      </c>
      <c r="M64" s="261">
        <f t="shared" si="5"/>
        <v>9.4361</v>
      </c>
      <c r="N64" s="229">
        <f t="shared" si="6"/>
        <v>1379.139559120618</v>
      </c>
      <c r="O64" s="231">
        <v>0</v>
      </c>
      <c r="P64" s="228">
        <f t="shared" si="7"/>
        <v>0</v>
      </c>
      <c r="Q64" s="229">
        <f t="shared" si="9"/>
        <v>0</v>
      </c>
      <c r="R64" s="228">
        <f t="shared" si="8"/>
        <v>0</v>
      </c>
      <c r="S64" s="257"/>
      <c r="T64" s="257"/>
      <c r="U64" s="257"/>
      <c r="V64" s="229"/>
      <c r="W64" s="257"/>
      <c r="X64" s="257"/>
      <c r="Y64" s="257"/>
      <c r="Z64" s="257"/>
      <c r="AA64" s="257"/>
    </row>
    <row r="65" spans="1:22" s="297" customFormat="1" ht="34.5" customHeight="1">
      <c r="A65" s="295">
        <v>2</v>
      </c>
      <c r="B65" s="303" t="s">
        <v>253</v>
      </c>
      <c r="C65" s="304" t="s">
        <v>254</v>
      </c>
      <c r="D65" s="219">
        <v>1</v>
      </c>
      <c r="E65" s="226">
        <v>28.5</v>
      </c>
      <c r="F65" s="228">
        <f t="shared" si="0"/>
        <v>28.5</v>
      </c>
      <c r="G65" s="259">
        <v>3.715</v>
      </c>
      <c r="H65" s="228">
        <f t="shared" si="1"/>
        <v>9.4361</v>
      </c>
      <c r="I65" s="229">
        <f t="shared" si="2"/>
        <v>268.92885</v>
      </c>
      <c r="J65" s="260">
        <f>E65/SS_Density</f>
        <v>3.5505170051077615</v>
      </c>
      <c r="K65" s="229">
        <f t="shared" si="3"/>
        <v>3.5505170051077615</v>
      </c>
      <c r="L65" s="261">
        <f t="shared" si="4"/>
        <v>3.715</v>
      </c>
      <c r="M65" s="228">
        <f t="shared" si="5"/>
        <v>9.4361</v>
      </c>
      <c r="N65" s="229">
        <f t="shared" si="6"/>
        <v>33.50303351189735</v>
      </c>
      <c r="O65" s="231">
        <v>0</v>
      </c>
      <c r="P65" s="228">
        <f t="shared" si="7"/>
        <v>0</v>
      </c>
      <c r="Q65" s="229">
        <f t="shared" si="9"/>
        <v>0</v>
      </c>
      <c r="R65" s="228">
        <f t="shared" si="8"/>
        <v>0</v>
      </c>
      <c r="V65" s="298"/>
    </row>
    <row r="66" spans="1:22" s="297" customFormat="1" ht="34.5" customHeight="1">
      <c r="A66" s="295">
        <v>2</v>
      </c>
      <c r="B66" s="303" t="s">
        <v>255</v>
      </c>
      <c r="C66" s="304" t="s">
        <v>256</v>
      </c>
      <c r="D66" s="219">
        <v>0</v>
      </c>
      <c r="E66" s="226">
        <v>23.7</v>
      </c>
      <c r="F66" s="228">
        <f t="shared" si="0"/>
        <v>0</v>
      </c>
      <c r="G66" s="259">
        <v>3.715</v>
      </c>
      <c r="H66" s="228">
        <f t="shared" si="1"/>
        <v>9.4361</v>
      </c>
      <c r="I66" s="229">
        <f t="shared" si="2"/>
        <v>0</v>
      </c>
      <c r="J66" s="260">
        <f>E66/SS_Density</f>
        <v>2.952535193721191</v>
      </c>
      <c r="K66" s="229">
        <f t="shared" si="3"/>
        <v>0</v>
      </c>
      <c r="L66" s="261">
        <f t="shared" si="4"/>
        <v>3.715</v>
      </c>
      <c r="M66" s="228">
        <f t="shared" si="5"/>
        <v>9.4361</v>
      </c>
      <c r="N66" s="229">
        <f t="shared" si="6"/>
        <v>0</v>
      </c>
      <c r="O66" s="231">
        <v>0</v>
      </c>
      <c r="P66" s="228">
        <f t="shared" si="7"/>
        <v>0</v>
      </c>
      <c r="Q66" s="229">
        <f t="shared" si="9"/>
        <v>0</v>
      </c>
      <c r="R66" s="228">
        <f t="shared" si="8"/>
        <v>0</v>
      </c>
      <c r="V66" s="298"/>
    </row>
    <row r="67" spans="1:22" s="297" customFormat="1" ht="34.5" customHeight="1">
      <c r="A67" s="295">
        <v>2</v>
      </c>
      <c r="B67" s="303" t="s">
        <v>257</v>
      </c>
      <c r="C67" s="304" t="s">
        <v>258</v>
      </c>
      <c r="D67" s="219">
        <v>0</v>
      </c>
      <c r="E67" s="226">
        <v>15.5</v>
      </c>
      <c r="F67" s="228">
        <f t="shared" si="0"/>
        <v>0</v>
      </c>
      <c r="G67" s="259">
        <v>3.715</v>
      </c>
      <c r="H67" s="228">
        <f t="shared" si="1"/>
        <v>9.4361</v>
      </c>
      <c r="I67" s="229">
        <f t="shared" si="2"/>
        <v>0</v>
      </c>
      <c r="J67" s="260">
        <f>E67/SS_Density</f>
        <v>1.9309829326024668</v>
      </c>
      <c r="K67" s="229">
        <f t="shared" si="3"/>
        <v>0</v>
      </c>
      <c r="L67" s="261">
        <f t="shared" si="4"/>
        <v>3.715</v>
      </c>
      <c r="M67" s="228">
        <f t="shared" si="5"/>
        <v>9.4361</v>
      </c>
      <c r="N67" s="229">
        <f t="shared" si="6"/>
        <v>0</v>
      </c>
      <c r="O67" s="231">
        <v>0</v>
      </c>
      <c r="P67" s="228">
        <f t="shared" si="7"/>
        <v>0</v>
      </c>
      <c r="Q67" s="229">
        <f t="shared" si="9"/>
        <v>0</v>
      </c>
      <c r="R67" s="228">
        <f t="shared" si="8"/>
        <v>0</v>
      </c>
      <c r="V67" s="298"/>
    </row>
    <row r="68" spans="1:22" s="297" customFormat="1" ht="16.5" customHeight="1" thickBot="1">
      <c r="A68" s="622"/>
      <c r="B68" s="623"/>
      <c r="C68" s="624"/>
      <c r="D68" s="625"/>
      <c r="E68" s="626"/>
      <c r="F68" s="627"/>
      <c r="G68" s="628"/>
      <c r="H68" s="627"/>
      <c r="I68" s="629"/>
      <c r="J68" s="630"/>
      <c r="K68" s="629"/>
      <c r="L68" s="631"/>
      <c r="M68" s="627"/>
      <c r="N68" s="629"/>
      <c r="O68" s="632"/>
      <c r="P68" s="627"/>
      <c r="Q68" s="629"/>
      <c r="R68" s="627"/>
      <c r="V68" s="298"/>
    </row>
    <row r="69" spans="1:22" s="297" customFormat="1" ht="16.5" customHeight="1" thickTop="1">
      <c r="A69" s="633">
        <v>1</v>
      </c>
      <c r="B69" s="634" t="s">
        <v>889</v>
      </c>
      <c r="C69" s="304"/>
      <c r="D69" s="219"/>
      <c r="E69" s="226"/>
      <c r="F69" s="228"/>
      <c r="G69" s="259"/>
      <c r="H69" s="228"/>
      <c r="I69" s="229"/>
      <c r="J69" s="260"/>
      <c r="K69" s="229"/>
      <c r="L69" s="261"/>
      <c r="M69" s="228"/>
      <c r="N69" s="229"/>
      <c r="O69" s="231"/>
      <c r="P69" s="228"/>
      <c r="Q69" s="229"/>
      <c r="R69" s="228"/>
      <c r="V69" s="298"/>
    </row>
    <row r="70" spans="1:22" s="297" customFormat="1" ht="16.5" customHeight="1">
      <c r="A70" s="306"/>
      <c r="B70" s="6" t="s">
        <v>248</v>
      </c>
      <c r="C70" s="279">
        <f>SUM(F72:F80)</f>
        <v>2439.4</v>
      </c>
      <c r="D70" s="280" t="s">
        <v>177</v>
      </c>
      <c r="E70" s="214" t="s">
        <v>183</v>
      </c>
      <c r="F70" s="289"/>
      <c r="G70" s="294"/>
      <c r="H70" s="289"/>
      <c r="I70" s="290"/>
      <c r="J70" s="260"/>
      <c r="K70" s="290"/>
      <c r="L70" s="131"/>
      <c r="M70" s="289"/>
      <c r="N70" s="290"/>
      <c r="O70" s="231"/>
      <c r="P70" s="289"/>
      <c r="Q70" s="290"/>
      <c r="R70" s="289"/>
      <c r="V70" s="298"/>
    </row>
    <row r="71" spans="1:22" s="297" customFormat="1" ht="16.5" customHeight="1">
      <c r="A71" s="306"/>
      <c r="B71" s="141" t="s">
        <v>237</v>
      </c>
      <c r="C71" s="227">
        <v>0</v>
      </c>
      <c r="D71" s="282" t="s">
        <v>177</v>
      </c>
      <c r="E71" s="217">
        <f>C71-C70</f>
        <v>-2439.4</v>
      </c>
      <c r="F71" s="289"/>
      <c r="G71" s="294"/>
      <c r="H71" s="289"/>
      <c r="I71" s="290"/>
      <c r="J71" s="260"/>
      <c r="K71" s="290"/>
      <c r="L71" s="131"/>
      <c r="M71" s="289"/>
      <c r="N71" s="290"/>
      <c r="O71" s="231"/>
      <c r="P71" s="289"/>
      <c r="Q71" s="290"/>
      <c r="R71" s="289"/>
      <c r="V71" s="298"/>
    </row>
    <row r="72" spans="1:27" s="301" customFormat="1" ht="16.5" customHeight="1">
      <c r="A72" s="256">
        <v>2</v>
      </c>
      <c r="B72" s="305" t="s">
        <v>890</v>
      </c>
      <c r="C72" s="306"/>
      <c r="D72" s="219">
        <v>1</v>
      </c>
      <c r="E72" s="226">
        <v>1422.3</v>
      </c>
      <c r="F72" s="228">
        <f aca="true" t="shared" si="10" ref="F72:F80">E72*D72</f>
        <v>1422.3</v>
      </c>
      <c r="G72" s="294">
        <v>42.077</v>
      </c>
      <c r="H72" s="289">
        <f aca="true" t="shared" si="11" ref="H72:H80">G72*2.54</f>
        <v>106.87558</v>
      </c>
      <c r="I72" s="290">
        <f aca="true" t="shared" si="12" ref="I72:I79">F72*H72</f>
        <v>152009.137434</v>
      </c>
      <c r="J72" s="260">
        <f>E72/Lead_Density</f>
        <v>125.91182719546742</v>
      </c>
      <c r="K72" s="290">
        <f aca="true" t="shared" si="13" ref="K72:K79">J72*D72</f>
        <v>125.91182719546742</v>
      </c>
      <c r="L72" s="635">
        <f aca="true" t="shared" si="14" ref="L72:L79">G72</f>
        <v>42.077</v>
      </c>
      <c r="M72" s="131">
        <f aca="true" t="shared" si="15" ref="M72:M80">L72*2.54</f>
        <v>106.87558</v>
      </c>
      <c r="N72" s="290">
        <f aca="true" t="shared" si="16" ref="N72:N79">K72*M72</f>
        <v>13456.899560375354</v>
      </c>
      <c r="O72" s="231">
        <v>-5.16</v>
      </c>
      <c r="P72" s="289">
        <f aca="true" t="shared" si="17" ref="P72:P80">O72*2.54</f>
        <v>-13.1064</v>
      </c>
      <c r="Q72" s="290">
        <f aca="true" t="shared" si="18" ref="Q72:Q79">F72*P72</f>
        <v>-18641.23272</v>
      </c>
      <c r="R72" s="228">
        <f aca="true" t="shared" si="19" ref="R72:R79">K72*P72</f>
        <v>-1650.2507719546743</v>
      </c>
      <c r="S72" s="307"/>
      <c r="T72" s="307"/>
      <c r="U72" s="257"/>
      <c r="V72" s="229"/>
      <c r="W72" s="257"/>
      <c r="X72" s="257"/>
      <c r="Y72" s="257"/>
      <c r="Z72" s="257"/>
      <c r="AA72" s="257"/>
    </row>
    <row r="73" spans="1:27" s="301" customFormat="1" ht="16.5" customHeight="1">
      <c r="A73" s="256">
        <v>2</v>
      </c>
      <c r="B73" s="305" t="s">
        <v>891</v>
      </c>
      <c r="C73" s="306"/>
      <c r="D73" s="219">
        <v>1</v>
      </c>
      <c r="E73" s="226">
        <v>198.7</v>
      </c>
      <c r="F73" s="289">
        <f t="shared" si="10"/>
        <v>198.7</v>
      </c>
      <c r="G73" s="294">
        <v>42.077</v>
      </c>
      <c r="H73" s="289">
        <f t="shared" si="11"/>
        <v>106.87558</v>
      </c>
      <c r="I73" s="290">
        <f t="shared" si="12"/>
        <v>21236.177745999998</v>
      </c>
      <c r="J73" s="260">
        <f>E73/Lead_Density</f>
        <v>17.59029745042493</v>
      </c>
      <c r="K73" s="290">
        <f t="shared" si="13"/>
        <v>17.59029745042493</v>
      </c>
      <c r="L73" s="635">
        <f t="shared" si="14"/>
        <v>42.077</v>
      </c>
      <c r="M73" s="131">
        <f t="shared" si="15"/>
        <v>106.87558</v>
      </c>
      <c r="N73" s="290">
        <f t="shared" si="16"/>
        <v>1879.9732423866858</v>
      </c>
      <c r="O73" s="231">
        <v>0</v>
      </c>
      <c r="P73" s="289">
        <f t="shared" si="17"/>
        <v>0</v>
      </c>
      <c r="Q73" s="290">
        <f t="shared" si="18"/>
        <v>0</v>
      </c>
      <c r="R73" s="228">
        <f t="shared" si="19"/>
        <v>0</v>
      </c>
      <c r="S73" s="307"/>
      <c r="T73" s="307"/>
      <c r="U73" s="257"/>
      <c r="V73" s="229"/>
      <c r="W73" s="257"/>
      <c r="X73" s="257"/>
      <c r="Y73" s="257"/>
      <c r="Z73" s="257"/>
      <c r="AA73" s="257"/>
    </row>
    <row r="74" spans="1:27" s="301" customFormat="1" ht="16.5" customHeight="1">
      <c r="A74" s="256">
        <v>2</v>
      </c>
      <c r="B74" s="305" t="s">
        <v>892</v>
      </c>
      <c r="C74" s="306"/>
      <c r="D74" s="219">
        <v>1</v>
      </c>
      <c r="E74" s="226">
        <v>296.5</v>
      </c>
      <c r="F74" s="289">
        <f t="shared" si="10"/>
        <v>296.5</v>
      </c>
      <c r="G74" s="294">
        <v>42.077</v>
      </c>
      <c r="H74" s="289">
        <f t="shared" si="11"/>
        <v>106.87558</v>
      </c>
      <c r="I74" s="290">
        <f t="shared" si="12"/>
        <v>31688.60947</v>
      </c>
      <c r="J74" s="260">
        <f>E74/Lead_Density</f>
        <v>26.248229461756374</v>
      </c>
      <c r="K74" s="290">
        <f t="shared" si="13"/>
        <v>26.248229461756374</v>
      </c>
      <c r="L74" s="635">
        <f t="shared" si="14"/>
        <v>42.077</v>
      </c>
      <c r="M74" s="131">
        <f t="shared" si="15"/>
        <v>106.87558</v>
      </c>
      <c r="N74" s="290">
        <f t="shared" si="16"/>
        <v>2805.2947476983004</v>
      </c>
      <c r="O74" s="231">
        <v>0</v>
      </c>
      <c r="P74" s="289">
        <f t="shared" si="17"/>
        <v>0</v>
      </c>
      <c r="Q74" s="290">
        <f t="shared" si="18"/>
        <v>0</v>
      </c>
      <c r="R74" s="228">
        <f t="shared" si="19"/>
        <v>0</v>
      </c>
      <c r="S74" s="307"/>
      <c r="T74" s="307"/>
      <c r="U74" s="257"/>
      <c r="V74" s="229"/>
      <c r="W74" s="257"/>
      <c r="X74" s="257"/>
      <c r="Y74" s="257"/>
      <c r="Z74" s="257"/>
      <c r="AA74" s="257"/>
    </row>
    <row r="75" spans="1:27" s="301" customFormat="1" ht="16.5" customHeight="1">
      <c r="A75" s="256">
        <v>2</v>
      </c>
      <c r="B75" s="305" t="s">
        <v>893</v>
      </c>
      <c r="C75" s="306"/>
      <c r="D75" s="219">
        <v>1</v>
      </c>
      <c r="E75" s="226">
        <v>318.2</v>
      </c>
      <c r="F75" s="289">
        <f t="shared" si="10"/>
        <v>318.2</v>
      </c>
      <c r="G75" s="294">
        <v>42.077</v>
      </c>
      <c r="H75" s="289">
        <f t="shared" si="11"/>
        <v>106.87558</v>
      </c>
      <c r="I75" s="290">
        <f t="shared" si="12"/>
        <v>34007.809556</v>
      </c>
      <c r="J75" s="260">
        <f>E75/Lead_Density</f>
        <v>28.16926345609065</v>
      </c>
      <c r="K75" s="290">
        <f t="shared" si="13"/>
        <v>28.16926345609065</v>
      </c>
      <c r="L75" s="635">
        <f t="shared" si="14"/>
        <v>42.077</v>
      </c>
      <c r="M75" s="131">
        <f t="shared" si="15"/>
        <v>106.87558</v>
      </c>
      <c r="N75" s="290">
        <f t="shared" si="16"/>
        <v>3010.606370042493</v>
      </c>
      <c r="O75" s="231">
        <v>5.1</v>
      </c>
      <c r="P75" s="289">
        <f t="shared" si="17"/>
        <v>12.953999999999999</v>
      </c>
      <c r="Q75" s="290">
        <f t="shared" si="18"/>
        <v>4121.962799999999</v>
      </c>
      <c r="R75" s="228">
        <f t="shared" si="19"/>
        <v>364.90463881019826</v>
      </c>
      <c r="S75" s="307"/>
      <c r="T75" s="307"/>
      <c r="U75" s="257"/>
      <c r="V75" s="229"/>
      <c r="W75" s="257"/>
      <c r="X75" s="257"/>
      <c r="Y75" s="257"/>
      <c r="Z75" s="257"/>
      <c r="AA75" s="257"/>
    </row>
    <row r="76" spans="1:27" s="301" customFormat="1" ht="16.5" customHeight="1">
      <c r="A76" s="256">
        <v>2</v>
      </c>
      <c r="B76" s="302" t="s">
        <v>894</v>
      </c>
      <c r="C76" s="306" t="s">
        <v>895</v>
      </c>
      <c r="D76" s="219">
        <v>1</v>
      </c>
      <c r="E76" s="226">
        <v>172.8</v>
      </c>
      <c r="F76" s="289">
        <f t="shared" si="10"/>
        <v>172.8</v>
      </c>
      <c r="G76" s="294">
        <v>42.077</v>
      </c>
      <c r="H76" s="289">
        <f t="shared" si="11"/>
        <v>106.87558</v>
      </c>
      <c r="I76" s="290">
        <f t="shared" si="12"/>
        <v>18468.100224</v>
      </c>
      <c r="J76" s="260">
        <f>E76/Material!B14</f>
        <v>123.99540757749715</v>
      </c>
      <c r="K76" s="290">
        <f t="shared" si="13"/>
        <v>123.99540757749715</v>
      </c>
      <c r="L76" s="635">
        <f t="shared" si="14"/>
        <v>42.077</v>
      </c>
      <c r="M76" s="131">
        <f t="shared" si="15"/>
        <v>106.87558</v>
      </c>
      <c r="N76" s="290">
        <f t="shared" si="16"/>
        <v>13252.081102181402</v>
      </c>
      <c r="O76" s="231">
        <v>0</v>
      </c>
      <c r="P76" s="289">
        <f t="shared" si="17"/>
        <v>0</v>
      </c>
      <c r="Q76" s="290">
        <f t="shared" si="18"/>
        <v>0</v>
      </c>
      <c r="R76" s="228">
        <f t="shared" si="19"/>
        <v>0</v>
      </c>
      <c r="S76" s="307"/>
      <c r="T76" s="307"/>
      <c r="U76" s="257"/>
      <c r="V76" s="229"/>
      <c r="W76" s="257"/>
      <c r="X76" s="257"/>
      <c r="Y76" s="257"/>
      <c r="Z76" s="257"/>
      <c r="AA76" s="257"/>
    </row>
    <row r="77" spans="1:27" s="301" customFormat="1" ht="16.5" customHeight="1">
      <c r="A77" s="256">
        <v>2</v>
      </c>
      <c r="B77" s="302" t="s">
        <v>896</v>
      </c>
      <c r="C77" s="306" t="s">
        <v>895</v>
      </c>
      <c r="D77" s="219">
        <v>1</v>
      </c>
      <c r="E77" s="226">
        <v>30.9</v>
      </c>
      <c r="F77" s="289">
        <f t="shared" si="10"/>
        <v>30.9</v>
      </c>
      <c r="G77" s="294">
        <v>42.077</v>
      </c>
      <c r="H77" s="289">
        <f t="shared" si="11"/>
        <v>106.87558</v>
      </c>
      <c r="I77" s="290">
        <f>F77*H77</f>
        <v>3302.455422</v>
      </c>
      <c r="J77" s="260">
        <f>F77/Material!B15</f>
        <v>26.84622067767159</v>
      </c>
      <c r="K77" s="290">
        <f>J77*D77</f>
        <v>26.84622067767159</v>
      </c>
      <c r="L77" s="635">
        <f>G77</f>
        <v>42.077</v>
      </c>
      <c r="M77" s="131">
        <f t="shared" si="15"/>
        <v>106.87558</v>
      </c>
      <c r="N77" s="290">
        <f>K77*M77</f>
        <v>2869.2054057341443</v>
      </c>
      <c r="O77" s="231">
        <v>0</v>
      </c>
      <c r="P77" s="289">
        <f t="shared" si="17"/>
        <v>0</v>
      </c>
      <c r="Q77" s="290">
        <f>F77*P77</f>
        <v>0</v>
      </c>
      <c r="R77" s="228">
        <f>K77*P77</f>
        <v>0</v>
      </c>
      <c r="T77" s="307"/>
      <c r="U77" s="257"/>
      <c r="V77" s="229"/>
      <c r="W77" s="257"/>
      <c r="X77" s="257"/>
      <c r="Y77" s="257"/>
      <c r="Z77" s="257"/>
      <c r="AA77" s="257"/>
    </row>
    <row r="78" spans="1:256" ht="15">
      <c r="A78" s="105">
        <v>2</v>
      </c>
      <c r="B78" s="305" t="s">
        <v>897</v>
      </c>
      <c r="C78" s="306"/>
      <c r="D78" s="219">
        <v>1</v>
      </c>
      <c r="E78" s="226">
        <v>0</v>
      </c>
      <c r="F78" s="289">
        <f t="shared" si="10"/>
        <v>0</v>
      </c>
      <c r="G78" s="294">
        <v>22.45</v>
      </c>
      <c r="H78" s="289">
        <f t="shared" si="11"/>
        <v>57.022999999999996</v>
      </c>
      <c r="I78" s="290">
        <f t="shared" si="12"/>
        <v>0</v>
      </c>
      <c r="J78" s="260">
        <f>E78/Lead_Density</f>
        <v>0</v>
      </c>
      <c r="K78" s="290">
        <f t="shared" si="13"/>
        <v>0</v>
      </c>
      <c r="L78" s="635">
        <f t="shared" si="14"/>
        <v>22.45</v>
      </c>
      <c r="M78" s="131">
        <f t="shared" si="15"/>
        <v>57.022999999999996</v>
      </c>
      <c r="N78" s="290">
        <f t="shared" si="16"/>
        <v>0</v>
      </c>
      <c r="O78" s="231">
        <v>4.035</v>
      </c>
      <c r="P78" s="289">
        <f t="shared" si="17"/>
        <v>10.2489</v>
      </c>
      <c r="Q78" s="290">
        <f t="shared" si="18"/>
        <v>0</v>
      </c>
      <c r="R78" s="228">
        <f t="shared" si="19"/>
        <v>0</v>
      </c>
      <c r="S78"/>
      <c r="T78"/>
      <c r="U78"/>
      <c r="V78" s="1"/>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7" s="301" customFormat="1" ht="16.5" customHeight="1">
      <c r="A79" s="256">
        <v>2</v>
      </c>
      <c r="B79" s="302" t="s">
        <v>898</v>
      </c>
      <c r="C79" s="306" t="s">
        <v>895</v>
      </c>
      <c r="D79" s="219">
        <v>0</v>
      </c>
      <c r="E79" s="226">
        <v>0</v>
      </c>
      <c r="F79" s="289">
        <f t="shared" si="10"/>
        <v>0</v>
      </c>
      <c r="G79" s="294">
        <v>22.45</v>
      </c>
      <c r="H79" s="289">
        <f t="shared" si="11"/>
        <v>57.022999999999996</v>
      </c>
      <c r="I79" s="290">
        <f t="shared" si="12"/>
        <v>0</v>
      </c>
      <c r="J79" s="260">
        <f>F79/Material!B14</f>
        <v>0</v>
      </c>
      <c r="K79" s="290">
        <f t="shared" si="13"/>
        <v>0</v>
      </c>
      <c r="L79" s="635">
        <f t="shared" si="14"/>
        <v>22.45</v>
      </c>
      <c r="M79" s="131">
        <f t="shared" si="15"/>
        <v>57.022999999999996</v>
      </c>
      <c r="N79" s="290">
        <f t="shared" si="16"/>
        <v>0</v>
      </c>
      <c r="O79" s="231">
        <v>4</v>
      </c>
      <c r="P79" s="289">
        <f t="shared" si="17"/>
        <v>10.16</v>
      </c>
      <c r="Q79" s="290">
        <f t="shared" si="18"/>
        <v>0</v>
      </c>
      <c r="R79" s="228">
        <f t="shared" si="19"/>
        <v>0</v>
      </c>
      <c r="S79" s="307"/>
      <c r="T79" s="307"/>
      <c r="U79" s="257"/>
      <c r="V79" s="229"/>
      <c r="W79" s="257"/>
      <c r="X79" s="257"/>
      <c r="Y79" s="257"/>
      <c r="Z79" s="257"/>
      <c r="AA79" s="257"/>
    </row>
    <row r="80" spans="1:27" s="301" customFormat="1" ht="16.5" customHeight="1">
      <c r="A80" s="256">
        <v>2</v>
      </c>
      <c r="B80" s="302" t="s">
        <v>899</v>
      </c>
      <c r="C80" s="306" t="s">
        <v>895</v>
      </c>
      <c r="D80" s="219">
        <v>0</v>
      </c>
      <c r="E80" s="226">
        <v>0</v>
      </c>
      <c r="F80" s="289">
        <f t="shared" si="10"/>
        <v>0</v>
      </c>
      <c r="G80" s="294">
        <v>22.45</v>
      </c>
      <c r="H80" s="289">
        <f t="shared" si="11"/>
        <v>57.022999999999996</v>
      </c>
      <c r="I80" s="290">
        <f>F80*H80</f>
        <v>0</v>
      </c>
      <c r="J80" s="260">
        <f>E80/Material!B15</f>
        <v>0</v>
      </c>
      <c r="K80" s="290">
        <f>J80*D80</f>
        <v>0</v>
      </c>
      <c r="L80" s="635">
        <f>G80</f>
        <v>22.45</v>
      </c>
      <c r="M80" s="131">
        <f t="shared" si="15"/>
        <v>57.022999999999996</v>
      </c>
      <c r="N80" s="290">
        <f>K80*M80</f>
        <v>0</v>
      </c>
      <c r="O80" s="231">
        <v>0</v>
      </c>
      <c r="P80" s="289">
        <f t="shared" si="17"/>
        <v>0</v>
      </c>
      <c r="Q80" s="290">
        <f>F80*P80</f>
        <v>0</v>
      </c>
      <c r="R80" s="228">
        <f>K80*P80</f>
        <v>0</v>
      </c>
      <c r="S80" s="307"/>
      <c r="T80" s="307"/>
      <c r="U80" s="257"/>
      <c r="V80" s="229"/>
      <c r="W80" s="257"/>
      <c r="X80" s="257"/>
      <c r="Y80" s="257"/>
      <c r="Z80" s="257"/>
      <c r="AA80" s="257"/>
    </row>
    <row r="81" spans="2:27" s="301" customFormat="1" ht="16.5" customHeight="1">
      <c r="B81" s="308" t="s">
        <v>261</v>
      </c>
      <c r="C81" s="309">
        <f>2028.2+413</f>
        <v>2441.2</v>
      </c>
      <c r="D81" s="219"/>
      <c r="E81" s="226"/>
      <c r="F81" s="289"/>
      <c r="G81" s="294"/>
      <c r="H81" s="289"/>
      <c r="I81" s="290"/>
      <c r="J81" s="260"/>
      <c r="K81" s="290"/>
      <c r="L81" s="131"/>
      <c r="M81" s="131"/>
      <c r="N81" s="290"/>
      <c r="O81" s="231"/>
      <c r="P81" s="289"/>
      <c r="Q81" s="290"/>
      <c r="R81" s="228"/>
      <c r="S81" s="307"/>
      <c r="T81" s="307"/>
      <c r="U81" s="257"/>
      <c r="V81" s="229"/>
      <c r="W81" s="257"/>
      <c r="X81" s="257"/>
      <c r="Y81" s="257"/>
      <c r="Z81" s="257"/>
      <c r="AA81" s="257"/>
    </row>
    <row r="82" spans="1:27" s="301" customFormat="1" ht="16.5" customHeight="1" thickBot="1">
      <c r="A82" s="310"/>
      <c r="B82" s="311" t="s">
        <v>262</v>
      </c>
      <c r="C82" s="312">
        <f>SUM(F72:F79,F84:F85)</f>
        <v>2439.4</v>
      </c>
      <c r="D82" s="313">
        <f>C81-C82</f>
        <v>1.7999999999997272</v>
      </c>
      <c r="E82" s="314" t="s">
        <v>183</v>
      </c>
      <c r="F82" s="315"/>
      <c r="G82" s="316"/>
      <c r="H82" s="315"/>
      <c r="I82" s="317"/>
      <c r="J82" s="318"/>
      <c r="K82" s="317"/>
      <c r="L82" s="319"/>
      <c r="M82" s="319"/>
      <c r="N82" s="317"/>
      <c r="O82" s="320"/>
      <c r="P82" s="315"/>
      <c r="Q82" s="317"/>
      <c r="R82" s="315"/>
      <c r="S82" s="307"/>
      <c r="T82" s="307"/>
      <c r="U82" s="257"/>
      <c r="V82" s="229"/>
      <c r="W82" s="257"/>
      <c r="X82" s="257"/>
      <c r="Y82" s="257"/>
      <c r="Z82" s="257"/>
      <c r="AA82" s="257"/>
    </row>
    <row r="83" spans="1:27" s="208" customFormat="1" ht="16.5" customHeight="1" thickTop="1">
      <c r="A83" s="186">
        <v>1</v>
      </c>
      <c r="B83" s="208" t="s">
        <v>263</v>
      </c>
      <c r="C83" s="186">
        <v>55497</v>
      </c>
      <c r="D83" s="274"/>
      <c r="E83" s="321"/>
      <c r="J83" s="322"/>
      <c r="O83" s="322"/>
      <c r="S83" s="211"/>
      <c r="T83" s="211"/>
      <c r="U83" s="211"/>
      <c r="V83" s="212"/>
      <c r="W83" s="211"/>
      <c r="X83" s="211"/>
      <c r="Y83" s="211"/>
      <c r="Z83" s="211"/>
      <c r="AA83" s="211"/>
    </row>
    <row r="84" spans="1:27" s="208" customFormat="1" ht="16.5" customHeight="1">
      <c r="A84" s="186"/>
      <c r="B84" s="6" t="s">
        <v>248</v>
      </c>
      <c r="C84" s="137">
        <f>SUM(F86:F129)</f>
        <v>5481.400000000001</v>
      </c>
      <c r="D84" s="280" t="s">
        <v>177</v>
      </c>
      <c r="E84" s="214" t="s">
        <v>183</v>
      </c>
      <c r="F84" s="323"/>
      <c r="G84" s="324"/>
      <c r="H84" s="210"/>
      <c r="J84" s="325"/>
      <c r="L84" s="326"/>
      <c r="M84" s="210"/>
      <c r="N84" s="212"/>
      <c r="O84" s="327"/>
      <c r="P84" s="210"/>
      <c r="Q84" s="212"/>
      <c r="R84" s="328"/>
      <c r="S84" s="211"/>
      <c r="T84" s="211"/>
      <c r="U84" s="211"/>
      <c r="V84" s="212"/>
      <c r="W84" s="211"/>
      <c r="X84" s="211"/>
      <c r="Y84" s="211"/>
      <c r="Z84" s="211"/>
      <c r="AA84" s="211"/>
    </row>
    <row r="85" spans="1:32" s="208" customFormat="1" ht="16.5" customHeight="1">
      <c r="A85" s="186"/>
      <c r="B85" s="6" t="s">
        <v>237</v>
      </c>
      <c r="C85" s="227">
        <v>5470</v>
      </c>
      <c r="D85" s="280" t="s">
        <v>177</v>
      </c>
      <c r="E85" s="217">
        <f>C85-C84</f>
        <v>-11.400000000000546</v>
      </c>
      <c r="I85" s="329"/>
      <c r="O85" s="322"/>
      <c r="S85"/>
      <c r="T85"/>
      <c r="U85"/>
      <c r="V85"/>
      <c r="W85"/>
      <c r="X85"/>
      <c r="Y85"/>
      <c r="Z85"/>
      <c r="AA85"/>
      <c r="AB85"/>
      <c r="AC85"/>
      <c r="AD85"/>
      <c r="AE85"/>
      <c r="AF85"/>
    </row>
    <row r="86" spans="1:27" s="301" customFormat="1" ht="16.5" customHeight="1">
      <c r="A86" s="256">
        <v>2</v>
      </c>
      <c r="B86" s="257" t="s">
        <v>264</v>
      </c>
      <c r="C86" s="304" t="s">
        <v>265</v>
      </c>
      <c r="D86" s="219">
        <v>1</v>
      </c>
      <c r="E86" s="226">
        <v>2346</v>
      </c>
      <c r="F86" s="228">
        <f aca="true" t="shared" si="20" ref="F86:F93">E86*D86</f>
        <v>2346</v>
      </c>
      <c r="G86" s="330">
        <v>54.37</v>
      </c>
      <c r="H86" s="228">
        <f aca="true" t="shared" si="21" ref="H86:H93">G86*2.54</f>
        <v>138.0998</v>
      </c>
      <c r="I86" s="229">
        <f aca="true" t="shared" si="22" ref="I86:I93">F86*H86</f>
        <v>323982.1308</v>
      </c>
      <c r="J86" s="260">
        <f>E86/Fiberglass_Density</f>
        <v>1679.4311112852492</v>
      </c>
      <c r="K86" s="229">
        <f aca="true" t="shared" si="23" ref="K86:K93">J86*D86</f>
        <v>1679.4311112852492</v>
      </c>
      <c r="L86" s="261">
        <f aca="true" t="shared" si="24" ref="L86:L93">G86</f>
        <v>54.37</v>
      </c>
      <c r="M86" s="228">
        <f aca="true" t="shared" si="25" ref="M86:M93">L86*2.54</f>
        <v>138.0998</v>
      </c>
      <c r="N86" s="229">
        <f aca="true" t="shared" si="26" ref="N86:N93">K86*M86</f>
        <v>231929.10058227065</v>
      </c>
      <c r="O86" s="231">
        <v>-0.02</v>
      </c>
      <c r="P86" s="228">
        <f aca="true" t="shared" si="27" ref="P86:P93">O86*2.54</f>
        <v>-0.050800000000000005</v>
      </c>
      <c r="Q86" s="229">
        <f aca="true" t="shared" si="28" ref="Q86:Q93">F86*P86</f>
        <v>-119.17680000000001</v>
      </c>
      <c r="R86" s="228">
        <f aca="true" t="shared" si="29" ref="R86:R93">K86*P86</f>
        <v>-85.31510045329067</v>
      </c>
      <c r="S86" s="257"/>
      <c r="T86" s="257"/>
      <c r="U86" s="257"/>
      <c r="V86" s="229"/>
      <c r="W86" s="257"/>
      <c r="X86" s="257"/>
      <c r="Y86" s="257"/>
      <c r="Z86" s="257"/>
      <c r="AA86" s="257"/>
    </row>
    <row r="87" spans="1:18" s="257" customFormat="1" ht="16.5" customHeight="1">
      <c r="A87" s="256">
        <v>2</v>
      </c>
      <c r="B87" s="301" t="s">
        <v>266</v>
      </c>
      <c r="C87" s="304">
        <v>49838</v>
      </c>
      <c r="D87" s="219">
        <v>1</v>
      </c>
      <c r="E87" s="226">
        <v>635.9</v>
      </c>
      <c r="F87" s="228">
        <f t="shared" si="20"/>
        <v>635.9</v>
      </c>
      <c r="G87" s="259">
        <v>50.942</v>
      </c>
      <c r="H87" s="228">
        <f t="shared" si="21"/>
        <v>129.39268</v>
      </c>
      <c r="I87" s="229">
        <f t="shared" si="22"/>
        <v>82280.805212</v>
      </c>
      <c r="J87" s="331">
        <v>504.7</v>
      </c>
      <c r="K87" s="229">
        <f t="shared" si="23"/>
        <v>504.7</v>
      </c>
      <c r="L87" s="261">
        <f t="shared" si="24"/>
        <v>50.942</v>
      </c>
      <c r="M87" s="228">
        <f t="shared" si="25"/>
        <v>129.39268</v>
      </c>
      <c r="N87" s="229">
        <f t="shared" si="26"/>
        <v>65304.485596000006</v>
      </c>
      <c r="O87" s="231">
        <v>0</v>
      </c>
      <c r="P87" s="228">
        <f t="shared" si="27"/>
        <v>0</v>
      </c>
      <c r="Q87" s="229">
        <f t="shared" si="28"/>
        <v>0</v>
      </c>
      <c r="R87" s="228">
        <f t="shared" si="29"/>
        <v>0</v>
      </c>
    </row>
    <row r="88" spans="1:18" s="257" customFormat="1" ht="16.5" customHeight="1">
      <c r="A88" s="256">
        <v>2</v>
      </c>
      <c r="B88" s="301" t="s">
        <v>267</v>
      </c>
      <c r="C88" s="304">
        <v>49838</v>
      </c>
      <c r="D88" s="219">
        <v>1</v>
      </c>
      <c r="E88" s="226">
        <v>638.1</v>
      </c>
      <c r="F88" s="228">
        <f t="shared" si="20"/>
        <v>638.1</v>
      </c>
      <c r="G88" s="259">
        <v>50.942</v>
      </c>
      <c r="H88" s="228">
        <f t="shared" si="21"/>
        <v>129.39268</v>
      </c>
      <c r="I88" s="229">
        <f t="shared" si="22"/>
        <v>82565.469108</v>
      </c>
      <c r="J88" s="331">
        <v>504.7</v>
      </c>
      <c r="K88" s="229">
        <f t="shared" si="23"/>
        <v>504.7</v>
      </c>
      <c r="L88" s="261">
        <f t="shared" si="24"/>
        <v>50.942</v>
      </c>
      <c r="M88" s="228">
        <f t="shared" si="25"/>
        <v>129.39268</v>
      </c>
      <c r="N88" s="229">
        <f t="shared" si="26"/>
        <v>65304.485596000006</v>
      </c>
      <c r="O88" s="231">
        <v>0</v>
      </c>
      <c r="P88" s="228">
        <f t="shared" si="27"/>
        <v>0</v>
      </c>
      <c r="Q88" s="229">
        <f t="shared" si="28"/>
        <v>0</v>
      </c>
      <c r="R88" s="228">
        <f t="shared" si="29"/>
        <v>0</v>
      </c>
    </row>
    <row r="89" spans="1:27" s="264" customFormat="1" ht="16.5" customHeight="1">
      <c r="A89" s="256">
        <v>2</v>
      </c>
      <c r="B89" s="257" t="s">
        <v>268</v>
      </c>
      <c r="C89" s="304" t="s">
        <v>269</v>
      </c>
      <c r="D89" s="219">
        <v>1</v>
      </c>
      <c r="E89" s="226">
        <v>8.8</v>
      </c>
      <c r="F89" s="228">
        <f t="shared" si="20"/>
        <v>8.8</v>
      </c>
      <c r="G89" s="259">
        <v>50</v>
      </c>
      <c r="H89" s="228">
        <f t="shared" si="21"/>
        <v>127</v>
      </c>
      <c r="I89" s="229">
        <f t="shared" si="22"/>
        <v>1117.6000000000001</v>
      </c>
      <c r="J89" s="260">
        <f>E89/SS_Density</f>
        <v>1.0962999875420458</v>
      </c>
      <c r="K89" s="229">
        <f t="shared" si="23"/>
        <v>1.0962999875420458</v>
      </c>
      <c r="L89" s="261">
        <f t="shared" si="24"/>
        <v>50</v>
      </c>
      <c r="M89" s="228">
        <f t="shared" si="25"/>
        <v>127</v>
      </c>
      <c r="N89" s="229">
        <f t="shared" si="26"/>
        <v>139.23009841783983</v>
      </c>
      <c r="O89" s="231">
        <v>0</v>
      </c>
      <c r="P89" s="228">
        <f t="shared" si="27"/>
        <v>0</v>
      </c>
      <c r="Q89" s="229">
        <f t="shared" si="28"/>
        <v>0</v>
      </c>
      <c r="R89" s="228">
        <f t="shared" si="29"/>
        <v>0</v>
      </c>
      <c r="S89" s="262"/>
      <c r="T89" s="262"/>
      <c r="U89" s="262"/>
      <c r="V89" s="263"/>
      <c r="W89" s="262"/>
      <c r="X89" s="262"/>
      <c r="Y89" s="262"/>
      <c r="Z89" s="262"/>
      <c r="AA89" s="262"/>
    </row>
    <row r="90" spans="1:27" s="301" customFormat="1" ht="16.5" customHeight="1">
      <c r="A90" s="256">
        <v>2</v>
      </c>
      <c r="B90" s="301" t="s">
        <v>270</v>
      </c>
      <c r="C90" s="304">
        <v>49839</v>
      </c>
      <c r="D90" s="219">
        <v>1</v>
      </c>
      <c r="E90" s="226">
        <v>118.6</v>
      </c>
      <c r="F90" s="228">
        <f t="shared" si="20"/>
        <v>118.6</v>
      </c>
      <c r="G90" s="259">
        <v>67.578</v>
      </c>
      <c r="H90" s="228">
        <f t="shared" si="21"/>
        <v>171.64812</v>
      </c>
      <c r="I90" s="229">
        <f t="shared" si="22"/>
        <v>20357.467032</v>
      </c>
      <c r="J90" s="260">
        <v>120</v>
      </c>
      <c r="K90" s="229">
        <f t="shared" si="23"/>
        <v>120</v>
      </c>
      <c r="L90" s="261">
        <f t="shared" si="24"/>
        <v>67.578</v>
      </c>
      <c r="M90" s="228">
        <f t="shared" si="25"/>
        <v>171.64812</v>
      </c>
      <c r="N90" s="229">
        <f t="shared" si="26"/>
        <v>20597.774400000002</v>
      </c>
      <c r="O90" s="231">
        <v>0</v>
      </c>
      <c r="P90" s="228">
        <f t="shared" si="27"/>
        <v>0</v>
      </c>
      <c r="Q90" s="229">
        <f t="shared" si="28"/>
        <v>0</v>
      </c>
      <c r="R90" s="228">
        <f t="shared" si="29"/>
        <v>0</v>
      </c>
      <c r="S90" s="257"/>
      <c r="T90" s="257"/>
      <c r="U90" s="257"/>
      <c r="V90" s="229"/>
      <c r="W90" s="257"/>
      <c r="X90" s="257"/>
      <c r="Y90" s="257"/>
      <c r="Z90" s="257"/>
      <c r="AA90" s="257"/>
    </row>
    <row r="91" spans="1:27" s="301" customFormat="1" ht="16.5" customHeight="1">
      <c r="A91" s="256">
        <v>2</v>
      </c>
      <c r="B91" s="332" t="s">
        <v>271</v>
      </c>
      <c r="C91" s="333"/>
      <c r="D91" s="219">
        <v>1</v>
      </c>
      <c r="E91" s="226">
        <v>20.3</v>
      </c>
      <c r="F91" s="289">
        <f t="shared" si="20"/>
        <v>20.3</v>
      </c>
      <c r="G91" s="294">
        <v>67.75</v>
      </c>
      <c r="H91" s="289">
        <f t="shared" si="21"/>
        <v>172.085</v>
      </c>
      <c r="I91" s="290">
        <f t="shared" si="22"/>
        <v>3493.3255000000004</v>
      </c>
      <c r="J91" s="260">
        <f>E91/SS_Density</f>
        <v>2.5289647439890373</v>
      </c>
      <c r="K91" s="290">
        <f t="shared" si="23"/>
        <v>2.5289647439890373</v>
      </c>
      <c r="L91" s="131">
        <f t="shared" si="24"/>
        <v>67.75</v>
      </c>
      <c r="M91" s="289">
        <f t="shared" si="25"/>
        <v>172.085</v>
      </c>
      <c r="N91" s="229">
        <f t="shared" si="26"/>
        <v>435.1968979693535</v>
      </c>
      <c r="O91" s="231">
        <v>0</v>
      </c>
      <c r="P91" s="289">
        <f t="shared" si="27"/>
        <v>0</v>
      </c>
      <c r="Q91" s="290">
        <f t="shared" si="28"/>
        <v>0</v>
      </c>
      <c r="R91" s="228">
        <f t="shared" si="29"/>
        <v>0</v>
      </c>
      <c r="S91" s="334"/>
      <c r="T91" s="335"/>
      <c r="U91" s="257"/>
      <c r="V91" s="229"/>
      <c r="W91" s="257"/>
      <c r="X91" s="257"/>
      <c r="Y91" s="257"/>
      <c r="Z91" s="257"/>
      <c r="AA91" s="257"/>
    </row>
    <row r="92" spans="1:27" s="301" customFormat="1" ht="16.5" customHeight="1">
      <c r="A92" s="256">
        <v>2</v>
      </c>
      <c r="B92" s="302" t="s">
        <v>272</v>
      </c>
      <c r="C92" s="306" t="s">
        <v>259</v>
      </c>
      <c r="D92" s="219">
        <v>0</v>
      </c>
      <c r="E92" s="226">
        <v>0</v>
      </c>
      <c r="F92" s="289">
        <f t="shared" si="20"/>
        <v>0</v>
      </c>
      <c r="G92" s="294">
        <v>62.2</v>
      </c>
      <c r="H92" s="289">
        <f t="shared" si="21"/>
        <v>157.988</v>
      </c>
      <c r="I92" s="290">
        <f t="shared" si="22"/>
        <v>0</v>
      </c>
      <c r="J92" s="260">
        <f>E92/Lead_Density</f>
        <v>0</v>
      </c>
      <c r="K92" s="290">
        <f t="shared" si="23"/>
        <v>0</v>
      </c>
      <c r="L92" s="131">
        <f t="shared" si="24"/>
        <v>62.2</v>
      </c>
      <c r="M92" s="131">
        <f t="shared" si="25"/>
        <v>157.988</v>
      </c>
      <c r="N92" s="290">
        <f t="shared" si="26"/>
        <v>0</v>
      </c>
      <c r="O92" s="231">
        <v>-1.65</v>
      </c>
      <c r="P92" s="289">
        <f t="shared" si="27"/>
        <v>-4.191</v>
      </c>
      <c r="Q92" s="290">
        <f t="shared" si="28"/>
        <v>0</v>
      </c>
      <c r="R92" s="228">
        <f t="shared" si="29"/>
        <v>0</v>
      </c>
      <c r="S92" s="307"/>
      <c r="T92" s="307"/>
      <c r="U92" s="257"/>
      <c r="V92" s="229"/>
      <c r="W92" s="257"/>
      <c r="X92" s="257"/>
      <c r="Y92" s="257"/>
      <c r="Z92" s="257"/>
      <c r="AA92" s="257"/>
    </row>
    <row r="93" spans="1:27" s="301" customFormat="1" ht="16.5" customHeight="1">
      <c r="A93" s="256">
        <v>2</v>
      </c>
      <c r="B93" s="305" t="s">
        <v>273</v>
      </c>
      <c r="C93" s="306" t="s">
        <v>260</v>
      </c>
      <c r="D93" s="219">
        <v>0</v>
      </c>
      <c r="E93" s="226">
        <v>1</v>
      </c>
      <c r="F93" s="289">
        <f t="shared" si="20"/>
        <v>0</v>
      </c>
      <c r="G93" s="294">
        <v>62.2</v>
      </c>
      <c r="H93" s="289">
        <f t="shared" si="21"/>
        <v>157.988</v>
      </c>
      <c r="I93" s="290">
        <f t="shared" si="22"/>
        <v>0</v>
      </c>
      <c r="J93" s="260">
        <f>E93/Polypropylene_Density</f>
        <v>1.1111111111111112</v>
      </c>
      <c r="K93" s="290">
        <f t="shared" si="23"/>
        <v>0</v>
      </c>
      <c r="L93" s="131">
        <f t="shared" si="24"/>
        <v>62.2</v>
      </c>
      <c r="M93" s="131">
        <f t="shared" si="25"/>
        <v>157.988</v>
      </c>
      <c r="N93" s="290">
        <f t="shared" si="26"/>
        <v>0</v>
      </c>
      <c r="O93" s="231">
        <v>-1.65</v>
      </c>
      <c r="P93" s="289">
        <f t="shared" si="27"/>
        <v>-4.191</v>
      </c>
      <c r="Q93" s="290">
        <f t="shared" si="28"/>
        <v>0</v>
      </c>
      <c r="R93" s="228">
        <f t="shared" si="29"/>
        <v>0</v>
      </c>
      <c r="S93" s="307"/>
      <c r="T93" s="307"/>
      <c r="U93" s="257"/>
      <c r="V93" s="229"/>
      <c r="W93" s="257"/>
      <c r="X93" s="257"/>
      <c r="Y93" s="257"/>
      <c r="Z93" s="257"/>
      <c r="AA93" s="257"/>
    </row>
    <row r="94" spans="1:27" s="338" customFormat="1" ht="16.5" customHeight="1">
      <c r="A94" s="336"/>
      <c r="B94" s="323"/>
      <c r="C94" s="10"/>
      <c r="D94" s="337"/>
      <c r="E94" s="226"/>
      <c r="G94" s="339"/>
      <c r="H94" s="323"/>
      <c r="I94" s="204"/>
      <c r="J94" s="340"/>
      <c r="K94" s="204"/>
      <c r="L94" s="341"/>
      <c r="M94" s="323"/>
      <c r="N94" s="204"/>
      <c r="O94" s="342"/>
      <c r="P94" s="323"/>
      <c r="Q94" s="204"/>
      <c r="R94" s="323"/>
      <c r="S94" s="343"/>
      <c r="T94" s="343"/>
      <c r="U94" s="343"/>
      <c r="V94" s="344"/>
      <c r="W94" s="343"/>
      <c r="X94" s="343"/>
      <c r="Y94" s="343"/>
      <c r="Z94" s="343"/>
      <c r="AA94" s="343"/>
    </row>
    <row r="95" spans="1:27" s="208" customFormat="1" ht="16.5" customHeight="1">
      <c r="A95" s="186">
        <v>2</v>
      </c>
      <c r="B95" s="208" t="s">
        <v>274</v>
      </c>
      <c r="C95" s="186">
        <v>49841</v>
      </c>
      <c r="D95" s="195"/>
      <c r="E95" s="345"/>
      <c r="F95" s="323"/>
      <c r="G95" s="324"/>
      <c r="H95" s="210"/>
      <c r="I95" s="212"/>
      <c r="J95" s="325"/>
      <c r="K95" s="212"/>
      <c r="L95" s="326"/>
      <c r="M95" s="210"/>
      <c r="N95" s="212"/>
      <c r="O95" s="327"/>
      <c r="P95" s="210"/>
      <c r="Q95" s="212"/>
      <c r="R95" s="210"/>
      <c r="S95" s="211"/>
      <c r="T95" s="211"/>
      <c r="U95" s="211"/>
      <c r="V95" s="212"/>
      <c r="W95" s="211"/>
      <c r="X95" s="211"/>
      <c r="Y95" s="211"/>
      <c r="Z95" s="211"/>
      <c r="AA95" s="211"/>
    </row>
    <row r="96" spans="1:27" s="208" customFormat="1" ht="16.5" customHeight="1">
      <c r="A96" s="186"/>
      <c r="B96" s="6" t="s">
        <v>248</v>
      </c>
      <c r="C96" s="137">
        <f>E98</f>
        <v>492</v>
      </c>
      <c r="D96" s="346" t="s">
        <v>177</v>
      </c>
      <c r="E96" s="347" t="s">
        <v>183</v>
      </c>
      <c r="F96" s="323"/>
      <c r="G96" s="324"/>
      <c r="H96" s="210"/>
      <c r="J96" s="325"/>
      <c r="L96" s="326"/>
      <c r="M96" s="210"/>
      <c r="N96" s="212"/>
      <c r="O96" s="327"/>
      <c r="P96" s="210"/>
      <c r="Q96" s="212"/>
      <c r="R96" s="210"/>
      <c r="S96" s="211"/>
      <c r="T96" s="211"/>
      <c r="U96" s="211"/>
      <c r="V96" s="212"/>
      <c r="W96" s="211"/>
      <c r="X96" s="211"/>
      <c r="Y96" s="211"/>
      <c r="Z96" s="211"/>
      <c r="AA96" s="211"/>
    </row>
    <row r="97" spans="1:32" s="283" customFormat="1" ht="16.5" customHeight="1">
      <c r="A97" s="281"/>
      <c r="B97" s="141" t="s">
        <v>237</v>
      </c>
      <c r="C97" s="227">
        <v>492</v>
      </c>
      <c r="D97" s="346" t="s">
        <v>177</v>
      </c>
      <c r="E97" s="348">
        <f>C97-C96</f>
        <v>0</v>
      </c>
      <c r="I97" s="284"/>
      <c r="O97" s="285"/>
      <c r="S97"/>
      <c r="T97"/>
      <c r="U97"/>
      <c r="V97"/>
      <c r="W97"/>
      <c r="X97"/>
      <c r="Y97"/>
      <c r="Z97"/>
      <c r="AA97"/>
      <c r="AB97"/>
      <c r="AC97"/>
      <c r="AD97"/>
      <c r="AE97"/>
      <c r="AF97"/>
    </row>
    <row r="98" spans="1:27" s="301" customFormat="1" ht="40.5" customHeight="1">
      <c r="A98" s="256">
        <v>3</v>
      </c>
      <c r="B98" s="349" t="s">
        <v>900</v>
      </c>
      <c r="C98" s="350" t="s">
        <v>275</v>
      </c>
      <c r="D98" s="219">
        <v>1</v>
      </c>
      <c r="E98" s="226">
        <v>492</v>
      </c>
      <c r="F98" s="131">
        <f>E98*D98</f>
        <v>492</v>
      </c>
      <c r="G98" s="294">
        <v>70.18</v>
      </c>
      <c r="H98" s="294">
        <f>G98*2.54</f>
        <v>178.2572</v>
      </c>
      <c r="I98" s="351">
        <f>F98*H98</f>
        <v>87702.5424</v>
      </c>
      <c r="J98" s="352">
        <v>357.8</v>
      </c>
      <c r="K98" s="351">
        <f>J98*D98</f>
        <v>357.8</v>
      </c>
      <c r="L98" s="294">
        <v>81.305</v>
      </c>
      <c r="M98" s="131">
        <f>L98*2.54</f>
        <v>206.51470000000003</v>
      </c>
      <c r="N98" s="351">
        <f>K98*M98</f>
        <v>73890.95966000001</v>
      </c>
      <c r="O98" s="231">
        <v>0</v>
      </c>
      <c r="P98" s="131">
        <f>O98*2.54</f>
        <v>0</v>
      </c>
      <c r="Q98" s="351">
        <f>F98*P98</f>
        <v>0</v>
      </c>
      <c r="R98" s="228">
        <f>K98*P98</f>
        <v>0</v>
      </c>
      <c r="S98" s="334"/>
      <c r="T98" s="335"/>
      <c r="U98" s="257"/>
      <c r="V98" s="229"/>
      <c r="W98" s="257"/>
      <c r="X98" s="257"/>
      <c r="Y98" s="257"/>
      <c r="Z98" s="257"/>
      <c r="AA98" s="257"/>
    </row>
    <row r="99" spans="1:22" s="257" customFormat="1" ht="16.5" customHeight="1">
      <c r="A99" s="256">
        <v>3</v>
      </c>
      <c r="B99" s="354" t="s">
        <v>276</v>
      </c>
      <c r="C99" s="258">
        <v>52340</v>
      </c>
      <c r="D99" s="219">
        <v>0</v>
      </c>
      <c r="E99" s="226" t="s">
        <v>141</v>
      </c>
      <c r="F99" s="289"/>
      <c r="G99" s="294"/>
      <c r="H99" s="289"/>
      <c r="I99" s="290"/>
      <c r="J99" s="331"/>
      <c r="K99" s="290"/>
      <c r="L99" s="131"/>
      <c r="M99" s="289"/>
      <c r="N99" s="290"/>
      <c r="O99" s="231"/>
      <c r="P99" s="289"/>
      <c r="Q99" s="290"/>
      <c r="R99" s="228"/>
      <c r="V99" s="229"/>
    </row>
    <row r="100" spans="1:27" s="281" customFormat="1" ht="16.5" customHeight="1">
      <c r="A100" s="256">
        <v>3</v>
      </c>
      <c r="B100" s="301" t="s">
        <v>277</v>
      </c>
      <c r="C100" s="258" t="s">
        <v>278</v>
      </c>
      <c r="D100" s="219">
        <v>0</v>
      </c>
      <c r="E100" s="353" t="s">
        <v>141</v>
      </c>
      <c r="F100" s="228"/>
      <c r="G100" s="259"/>
      <c r="H100" s="228"/>
      <c r="I100" s="229"/>
      <c r="J100" s="352"/>
      <c r="K100" s="298"/>
      <c r="L100" s="261"/>
      <c r="M100" s="228"/>
      <c r="N100" s="229"/>
      <c r="O100" s="231"/>
      <c r="P100" s="228"/>
      <c r="Q100" s="229"/>
      <c r="R100" s="228"/>
      <c r="S100" s="355"/>
      <c r="T100" s="355"/>
      <c r="U100" s="355"/>
      <c r="V100" s="356"/>
      <c r="W100" s="355"/>
      <c r="X100" s="355"/>
      <c r="Y100" s="355"/>
      <c r="Z100" s="355"/>
      <c r="AA100" s="355"/>
    </row>
    <row r="101" spans="1:27" s="281" customFormat="1" ht="16.5" customHeight="1">
      <c r="A101" s="256">
        <v>3</v>
      </c>
      <c r="B101" s="301" t="s">
        <v>279</v>
      </c>
      <c r="C101" s="256">
        <v>55456</v>
      </c>
      <c r="D101" s="219">
        <v>1</v>
      </c>
      <c r="E101" s="353" t="s">
        <v>141</v>
      </c>
      <c r="F101" s="228"/>
      <c r="G101" s="259"/>
      <c r="H101" s="228"/>
      <c r="I101" s="229"/>
      <c r="J101" s="260"/>
      <c r="K101" s="298"/>
      <c r="L101" s="261"/>
      <c r="M101" s="228"/>
      <c r="N101" s="229"/>
      <c r="O101" s="231"/>
      <c r="P101" s="228"/>
      <c r="Q101" s="229"/>
      <c r="R101" s="228"/>
      <c r="S101" s="355"/>
      <c r="T101" s="355"/>
      <c r="U101" s="355"/>
      <c r="V101" s="356"/>
      <c r="W101" s="355"/>
      <c r="X101" s="355"/>
      <c r="Y101" s="355"/>
      <c r="Z101" s="355"/>
      <c r="AA101" s="355"/>
    </row>
    <row r="102" spans="1:27" s="281" customFormat="1" ht="16.5" customHeight="1">
      <c r="A102" s="256">
        <v>3</v>
      </c>
      <c r="B102" s="301" t="s">
        <v>280</v>
      </c>
      <c r="C102" s="256">
        <v>55492</v>
      </c>
      <c r="D102" s="219">
        <v>1</v>
      </c>
      <c r="E102" s="353" t="s">
        <v>141</v>
      </c>
      <c r="F102" s="228"/>
      <c r="G102" s="259"/>
      <c r="H102" s="228"/>
      <c r="I102" s="229"/>
      <c r="J102" s="260"/>
      <c r="K102" s="298"/>
      <c r="L102" s="261"/>
      <c r="M102" s="228"/>
      <c r="N102" s="229"/>
      <c r="O102" s="231"/>
      <c r="P102" s="228"/>
      <c r="Q102" s="229"/>
      <c r="R102" s="228"/>
      <c r="S102" s="355"/>
      <c r="T102" s="355"/>
      <c r="U102" s="355"/>
      <c r="V102" s="356"/>
      <c r="W102" s="355"/>
      <c r="X102" s="355"/>
      <c r="Y102" s="355"/>
      <c r="Z102" s="355"/>
      <c r="AA102" s="355"/>
    </row>
    <row r="103" spans="1:27" s="281" customFormat="1" ht="16.5" customHeight="1">
      <c r="A103" s="256">
        <v>3</v>
      </c>
      <c r="B103" s="301" t="s">
        <v>281</v>
      </c>
      <c r="C103" s="256">
        <v>52481</v>
      </c>
      <c r="D103" s="219"/>
      <c r="E103" s="353"/>
      <c r="F103" s="228"/>
      <c r="G103" s="259"/>
      <c r="H103" s="228"/>
      <c r="I103" s="229"/>
      <c r="J103" s="260"/>
      <c r="K103" s="298"/>
      <c r="L103" s="261"/>
      <c r="M103" s="228"/>
      <c r="N103" s="229"/>
      <c r="O103" s="231"/>
      <c r="P103" s="228"/>
      <c r="Q103" s="229"/>
      <c r="R103" s="228"/>
      <c r="S103" s="355"/>
      <c r="T103" s="355"/>
      <c r="U103" s="355"/>
      <c r="V103" s="356"/>
      <c r="W103" s="355"/>
      <c r="X103" s="355"/>
      <c r="Y103" s="355"/>
      <c r="Z103" s="355"/>
      <c r="AA103" s="355"/>
    </row>
    <row r="104" spans="1:27" s="281" customFormat="1" ht="16.5" customHeight="1">
      <c r="A104" s="256"/>
      <c r="B104" s="301"/>
      <c r="C104" s="256"/>
      <c r="D104" s="219"/>
      <c r="E104" s="353"/>
      <c r="F104" s="228"/>
      <c r="G104" s="259"/>
      <c r="H104" s="228"/>
      <c r="I104" s="229"/>
      <c r="J104" s="260"/>
      <c r="K104" s="298"/>
      <c r="L104" s="261"/>
      <c r="M104" s="228"/>
      <c r="N104" s="229"/>
      <c r="O104" s="231"/>
      <c r="P104" s="228"/>
      <c r="Q104" s="229"/>
      <c r="R104" s="228"/>
      <c r="S104" s="355"/>
      <c r="T104" s="355"/>
      <c r="U104" s="355"/>
      <c r="V104" s="356"/>
      <c r="W104" s="355"/>
      <c r="X104" s="355"/>
      <c r="Y104" s="355"/>
      <c r="Z104" s="355"/>
      <c r="AA104" s="355"/>
    </row>
    <row r="105" spans="1:27" s="281" customFormat="1" ht="16.5" customHeight="1">
      <c r="A105" s="281">
        <v>2</v>
      </c>
      <c r="B105" s="283" t="s">
        <v>282</v>
      </c>
      <c r="C105" s="281">
        <v>55841</v>
      </c>
      <c r="D105" s="219"/>
      <c r="E105" s="353"/>
      <c r="F105" s="228"/>
      <c r="G105" s="259"/>
      <c r="H105" s="228"/>
      <c r="I105" s="229"/>
      <c r="J105" s="260"/>
      <c r="K105" s="298"/>
      <c r="L105" s="261"/>
      <c r="M105" s="228"/>
      <c r="N105" s="229"/>
      <c r="O105" s="231"/>
      <c r="P105" s="228"/>
      <c r="Q105" s="229"/>
      <c r="R105" s="228"/>
      <c r="S105" s="355"/>
      <c r="T105" s="355"/>
      <c r="U105" s="355"/>
      <c r="V105" s="356"/>
      <c r="W105" s="355"/>
      <c r="X105" s="355"/>
      <c r="Y105" s="355"/>
      <c r="Z105" s="355"/>
      <c r="AA105" s="355"/>
    </row>
    <row r="106" spans="1:27" s="208" customFormat="1" ht="16.5" customHeight="1">
      <c r="A106" s="186"/>
      <c r="B106" s="6" t="s">
        <v>248</v>
      </c>
      <c r="C106" s="137">
        <f>SUM(F108:F113)</f>
        <v>339.9</v>
      </c>
      <c r="D106" s="346" t="s">
        <v>177</v>
      </c>
      <c r="E106" s="347" t="s">
        <v>183</v>
      </c>
      <c r="F106" s="323"/>
      <c r="G106" s="324"/>
      <c r="H106" s="210"/>
      <c r="J106" s="325"/>
      <c r="L106" s="326"/>
      <c r="M106" s="210"/>
      <c r="N106" s="212"/>
      <c r="O106" s="327"/>
      <c r="P106" s="210"/>
      <c r="Q106" s="212"/>
      <c r="R106" s="210"/>
      <c r="S106" s="211"/>
      <c r="T106" s="211"/>
      <c r="U106" s="211"/>
      <c r="V106" s="212"/>
      <c r="W106" s="211"/>
      <c r="X106" s="211"/>
      <c r="Y106" s="211"/>
      <c r="Z106" s="211"/>
      <c r="AA106" s="211"/>
    </row>
    <row r="107" spans="1:32" s="283" customFormat="1" ht="16.5" customHeight="1">
      <c r="A107" s="281"/>
      <c r="B107" s="141" t="s">
        <v>237</v>
      </c>
      <c r="C107" s="227">
        <v>339.9</v>
      </c>
      <c r="D107" s="346" t="s">
        <v>177</v>
      </c>
      <c r="E107" s="348">
        <f>C107-C106</f>
        <v>0</v>
      </c>
      <c r="I107" s="284"/>
      <c r="O107" s="285"/>
      <c r="S107"/>
      <c r="T107"/>
      <c r="U107"/>
      <c r="V107"/>
      <c r="W107"/>
      <c r="X107"/>
      <c r="Y107"/>
      <c r="Z107"/>
      <c r="AA107"/>
      <c r="AB107"/>
      <c r="AC107"/>
      <c r="AD107"/>
      <c r="AE107"/>
      <c r="AF107"/>
    </row>
    <row r="108" spans="1:27" s="264" customFormat="1" ht="40.5" customHeight="1">
      <c r="A108" s="256">
        <v>3</v>
      </c>
      <c r="B108" s="299" t="s">
        <v>884</v>
      </c>
      <c r="C108" s="357" t="s">
        <v>283</v>
      </c>
      <c r="D108" s="219">
        <v>1</v>
      </c>
      <c r="E108" s="226">
        <v>247.7</v>
      </c>
      <c r="F108" s="228">
        <f>E108*D108</f>
        <v>247.7</v>
      </c>
      <c r="G108" s="259">
        <v>56.37</v>
      </c>
      <c r="H108" s="228">
        <f>G108*2.54</f>
        <v>143.1798</v>
      </c>
      <c r="I108" s="229">
        <f>F108*H108</f>
        <v>35465.63646</v>
      </c>
      <c r="J108" s="260">
        <v>81.1</v>
      </c>
      <c r="K108" s="229">
        <f>J108*D108</f>
        <v>81.1</v>
      </c>
      <c r="L108" s="228">
        <f>G108</f>
        <v>56.37</v>
      </c>
      <c r="M108" s="228">
        <f>L108*2.54</f>
        <v>143.1798</v>
      </c>
      <c r="N108" s="229">
        <f>K108*M108</f>
        <v>11611.88178</v>
      </c>
      <c r="O108" s="231">
        <v>2.5</v>
      </c>
      <c r="P108" s="228">
        <f>O108*2.54</f>
        <v>6.35</v>
      </c>
      <c r="Q108" s="229">
        <f>F108*P108</f>
        <v>1572.8949999999998</v>
      </c>
      <c r="R108" s="228">
        <f>K108*P108</f>
        <v>514.9849999999999</v>
      </c>
      <c r="S108" s="262"/>
      <c r="T108" s="262"/>
      <c r="U108" s="262"/>
      <c r="V108" s="263"/>
      <c r="W108" s="262"/>
      <c r="X108" s="262"/>
      <c r="Y108" s="262"/>
      <c r="Z108" s="262"/>
      <c r="AA108" s="262"/>
    </row>
    <row r="109" spans="1:27" s="264" customFormat="1" ht="16.5" customHeight="1">
      <c r="A109" s="256">
        <v>3</v>
      </c>
      <c r="B109" s="301" t="s">
        <v>284</v>
      </c>
      <c r="C109" s="258">
        <v>55469</v>
      </c>
      <c r="D109" s="219">
        <v>1</v>
      </c>
      <c r="E109" s="226">
        <v>92.2</v>
      </c>
      <c r="F109" s="228">
        <f>E109*D109</f>
        <v>92.2</v>
      </c>
      <c r="G109" s="259">
        <v>50</v>
      </c>
      <c r="H109" s="228">
        <f>G109*2.54</f>
        <v>127</v>
      </c>
      <c r="I109" s="229">
        <f>F109*H109</f>
        <v>11709.4</v>
      </c>
      <c r="J109" s="260">
        <v>29</v>
      </c>
      <c r="K109" s="229">
        <f>J109*D109</f>
        <v>29</v>
      </c>
      <c r="L109" s="228">
        <f>G109</f>
        <v>50</v>
      </c>
      <c r="M109" s="228">
        <f>L109*2.54</f>
        <v>127</v>
      </c>
      <c r="N109" s="229">
        <f>K109*M109</f>
        <v>3683</v>
      </c>
      <c r="O109" s="231">
        <v>2</v>
      </c>
      <c r="P109" s="228">
        <f>O109*2.54</f>
        <v>5.08</v>
      </c>
      <c r="Q109" s="229">
        <f>F109*P109</f>
        <v>468.37600000000003</v>
      </c>
      <c r="R109" s="228">
        <f>K109*P109</f>
        <v>147.32</v>
      </c>
      <c r="S109" s="262"/>
      <c r="T109" s="262"/>
      <c r="U109" s="262"/>
      <c r="V109" s="263"/>
      <c r="W109" s="262"/>
      <c r="X109" s="262"/>
      <c r="Y109" s="262"/>
      <c r="Z109" s="262"/>
      <c r="AA109" s="262"/>
    </row>
    <row r="110" spans="1:27" s="264" customFormat="1" ht="16.5" customHeight="1">
      <c r="A110" s="256"/>
      <c r="B110" s="301"/>
      <c r="C110" s="258"/>
      <c r="D110" s="219"/>
      <c r="E110" s="226"/>
      <c r="F110" s="228"/>
      <c r="G110" s="259"/>
      <c r="H110" s="228"/>
      <c r="I110" s="229"/>
      <c r="J110" s="260"/>
      <c r="K110" s="229"/>
      <c r="L110" s="228"/>
      <c r="M110" s="228"/>
      <c r="N110" s="229"/>
      <c r="O110" s="231"/>
      <c r="P110" s="228"/>
      <c r="Q110" s="229"/>
      <c r="R110" s="228"/>
      <c r="S110" s="262"/>
      <c r="T110" s="262"/>
      <c r="U110" s="262"/>
      <c r="V110" s="263"/>
      <c r="W110" s="262"/>
      <c r="X110" s="262"/>
      <c r="Y110" s="262"/>
      <c r="Z110" s="262"/>
      <c r="AA110" s="262"/>
    </row>
    <row r="111" spans="1:27" s="281" customFormat="1" ht="16.5" customHeight="1">
      <c r="A111" s="281">
        <v>2</v>
      </c>
      <c r="B111" s="283" t="s">
        <v>285</v>
      </c>
      <c r="C111" s="281">
        <v>55482</v>
      </c>
      <c r="D111" s="219"/>
      <c r="E111" s="353"/>
      <c r="F111" s="228"/>
      <c r="G111" s="259"/>
      <c r="H111" s="228"/>
      <c r="I111" s="229"/>
      <c r="J111" s="260"/>
      <c r="K111" s="298"/>
      <c r="L111" s="261"/>
      <c r="M111" s="228"/>
      <c r="N111" s="229"/>
      <c r="O111" s="231"/>
      <c r="P111" s="228"/>
      <c r="Q111" s="229"/>
      <c r="R111" s="228"/>
      <c r="S111" s="355"/>
      <c r="T111" s="355"/>
      <c r="U111" s="355"/>
      <c r="V111" s="356"/>
      <c r="W111" s="355"/>
      <c r="X111" s="355"/>
      <c r="Y111" s="355"/>
      <c r="Z111" s="355"/>
      <c r="AA111" s="355"/>
    </row>
    <row r="112" spans="1:27" s="208" customFormat="1" ht="16.5" customHeight="1">
      <c r="A112" s="186"/>
      <c r="B112" s="6" t="s">
        <v>248</v>
      </c>
      <c r="C112" s="137">
        <f>SUM(F111:F116)</f>
        <v>368.3</v>
      </c>
      <c r="D112" s="346" t="s">
        <v>177</v>
      </c>
      <c r="E112" s="347" t="s">
        <v>183</v>
      </c>
      <c r="F112" s="323"/>
      <c r="G112" s="324"/>
      <c r="H112" s="210"/>
      <c r="J112" s="325"/>
      <c r="L112" s="326"/>
      <c r="M112" s="210"/>
      <c r="N112" s="212"/>
      <c r="O112" s="327"/>
      <c r="P112" s="210"/>
      <c r="Q112" s="212"/>
      <c r="R112" s="210"/>
      <c r="S112" s="211"/>
      <c r="T112" s="211"/>
      <c r="U112" s="211"/>
      <c r="V112" s="212"/>
      <c r="W112" s="211"/>
      <c r="X112" s="211"/>
      <c r="Y112" s="211"/>
      <c r="Z112" s="211"/>
      <c r="AA112" s="211"/>
    </row>
    <row r="113" spans="1:32" s="283" customFormat="1" ht="16.5" customHeight="1">
      <c r="A113" s="281"/>
      <c r="B113" s="141" t="s">
        <v>237</v>
      </c>
      <c r="C113" s="227">
        <v>368.3</v>
      </c>
      <c r="D113" s="346" t="s">
        <v>177</v>
      </c>
      <c r="E113" s="348">
        <f>C113-C112</f>
        <v>0</v>
      </c>
      <c r="I113" s="284"/>
      <c r="O113" s="285"/>
      <c r="S113"/>
      <c r="T113"/>
      <c r="U113"/>
      <c r="V113"/>
      <c r="W113"/>
      <c r="X113"/>
      <c r="Y113"/>
      <c r="Z113"/>
      <c r="AA113"/>
      <c r="AB113"/>
      <c r="AC113"/>
      <c r="AD113"/>
      <c r="AE113"/>
      <c r="AF113"/>
    </row>
    <row r="114" spans="1:27" s="264" customFormat="1" ht="49.5" customHeight="1">
      <c r="A114" s="256">
        <v>3</v>
      </c>
      <c r="B114" s="299" t="s">
        <v>885</v>
      </c>
      <c r="C114" s="357" t="s">
        <v>286</v>
      </c>
      <c r="D114" s="219">
        <v>1</v>
      </c>
      <c r="E114" s="226">
        <v>308.7</v>
      </c>
      <c r="F114" s="228">
        <f>E114*D114</f>
        <v>308.7</v>
      </c>
      <c r="G114" s="259">
        <v>54.39</v>
      </c>
      <c r="H114" s="228">
        <f>G114*2.54</f>
        <v>138.1506</v>
      </c>
      <c r="I114" s="229">
        <f>F114*H114</f>
        <v>42647.09022</v>
      </c>
      <c r="J114" s="260">
        <v>166.7</v>
      </c>
      <c r="K114" s="229">
        <f>J114*D114</f>
        <v>166.7</v>
      </c>
      <c r="L114" s="228">
        <f>G114</f>
        <v>54.39</v>
      </c>
      <c r="M114" s="228">
        <f>L114*2.54</f>
        <v>138.1506</v>
      </c>
      <c r="N114" s="229">
        <f>K114*M114</f>
        <v>23029.705019999998</v>
      </c>
      <c r="O114" s="231">
        <v>2.5</v>
      </c>
      <c r="P114" s="228">
        <f>O114*2.54</f>
        <v>6.35</v>
      </c>
      <c r="Q114" s="229">
        <f>F114*P114</f>
        <v>1960.245</v>
      </c>
      <c r="R114" s="228">
        <f>K114*P114</f>
        <v>1058.5449999999998</v>
      </c>
      <c r="S114" s="262"/>
      <c r="T114" s="262"/>
      <c r="U114" s="262"/>
      <c r="V114" s="263"/>
      <c r="W114" s="262"/>
      <c r="X114" s="262"/>
      <c r="Y114" s="262"/>
      <c r="Z114" s="262"/>
      <c r="AA114" s="262"/>
    </row>
    <row r="115" spans="1:27" s="264" customFormat="1" ht="16.5" customHeight="1">
      <c r="A115" s="256">
        <v>3</v>
      </c>
      <c r="B115" s="301" t="s">
        <v>284</v>
      </c>
      <c r="C115" s="258">
        <v>52236</v>
      </c>
      <c r="D115" s="219">
        <v>1</v>
      </c>
      <c r="E115" s="226">
        <v>59.6</v>
      </c>
      <c r="F115" s="228">
        <f>E115*D115</f>
        <v>59.6</v>
      </c>
      <c r="G115" s="259">
        <v>50</v>
      </c>
      <c r="H115" s="228">
        <f>G115*2.54</f>
        <v>127</v>
      </c>
      <c r="I115" s="229">
        <f>F115*H115</f>
        <v>7569.2</v>
      </c>
      <c r="J115" s="260">
        <v>29</v>
      </c>
      <c r="K115" s="229">
        <f>J115*D115</f>
        <v>29</v>
      </c>
      <c r="L115" s="228">
        <f>G115</f>
        <v>50</v>
      </c>
      <c r="M115" s="228">
        <f>L115*2.54</f>
        <v>127</v>
      </c>
      <c r="N115" s="229">
        <f>K115*M115</f>
        <v>3683</v>
      </c>
      <c r="O115" s="231">
        <v>2</v>
      </c>
      <c r="P115" s="228">
        <f>O115*2.54</f>
        <v>5.08</v>
      </c>
      <c r="Q115" s="229">
        <f>F115*P115</f>
        <v>302.76800000000003</v>
      </c>
      <c r="R115" s="228">
        <f>K115*P115</f>
        <v>147.32</v>
      </c>
      <c r="S115" s="262"/>
      <c r="T115" s="262"/>
      <c r="U115" s="262"/>
      <c r="V115" s="263"/>
      <c r="W115" s="262"/>
      <c r="X115" s="262"/>
      <c r="Y115" s="262"/>
      <c r="Z115" s="262"/>
      <c r="AA115" s="262"/>
    </row>
    <row r="116" spans="1:27" s="281" customFormat="1" ht="16.5" customHeight="1">
      <c r="A116" s="256">
        <v>3</v>
      </c>
      <c r="B116" s="301" t="s">
        <v>287</v>
      </c>
      <c r="C116" s="256">
        <v>55518</v>
      </c>
      <c r="D116" s="219">
        <v>1</v>
      </c>
      <c r="E116" s="353" t="s">
        <v>141</v>
      </c>
      <c r="F116" s="228"/>
      <c r="G116" s="259"/>
      <c r="H116" s="228"/>
      <c r="I116" s="229"/>
      <c r="J116" s="260"/>
      <c r="K116" s="298"/>
      <c r="L116" s="261"/>
      <c r="M116" s="228"/>
      <c r="N116" s="229"/>
      <c r="O116" s="231"/>
      <c r="P116" s="228"/>
      <c r="Q116" s="229"/>
      <c r="R116" s="228"/>
      <c r="S116" s="355"/>
      <c r="T116" s="355"/>
      <c r="U116" s="355"/>
      <c r="V116" s="356"/>
      <c r="W116" s="355"/>
      <c r="X116" s="355"/>
      <c r="Y116" s="355"/>
      <c r="Z116" s="355"/>
      <c r="AA116" s="355"/>
    </row>
    <row r="117" spans="2:27" s="281" customFormat="1" ht="16.5" customHeight="1">
      <c r="B117" s="301"/>
      <c r="C117" s="256"/>
      <c r="D117" s="219"/>
      <c r="E117" s="353"/>
      <c r="F117" s="228"/>
      <c r="G117" s="259"/>
      <c r="H117" s="228"/>
      <c r="I117" s="229"/>
      <c r="J117" s="260"/>
      <c r="K117" s="298"/>
      <c r="L117" s="261"/>
      <c r="M117" s="228"/>
      <c r="N117" s="229"/>
      <c r="O117" s="231"/>
      <c r="P117" s="228"/>
      <c r="Q117" s="229"/>
      <c r="R117" s="228"/>
      <c r="S117" s="355"/>
      <c r="T117" s="355"/>
      <c r="U117" s="355"/>
      <c r="V117" s="356"/>
      <c r="W117" s="355"/>
      <c r="X117" s="355"/>
      <c r="Y117" s="355"/>
      <c r="Z117" s="355"/>
      <c r="AA117" s="355"/>
    </row>
    <row r="118" spans="1:27" s="281" customFormat="1" ht="16.5" customHeight="1">
      <c r="A118" s="281">
        <v>2</v>
      </c>
      <c r="B118" s="283" t="s">
        <v>886</v>
      </c>
      <c r="C118" s="281">
        <v>55521</v>
      </c>
      <c r="D118" s="219"/>
      <c r="E118" s="353"/>
      <c r="F118" s="228"/>
      <c r="G118" s="259"/>
      <c r="H118" s="228"/>
      <c r="I118" s="229"/>
      <c r="J118" s="260"/>
      <c r="K118" s="298"/>
      <c r="L118" s="261"/>
      <c r="M118" s="228"/>
      <c r="N118" s="229"/>
      <c r="O118" s="231"/>
      <c r="P118" s="228"/>
      <c r="Q118" s="229"/>
      <c r="R118" s="228"/>
      <c r="S118" s="355"/>
      <c r="T118" s="355"/>
      <c r="U118" s="355"/>
      <c r="V118" s="356"/>
      <c r="W118" s="355"/>
      <c r="X118" s="355"/>
      <c r="Y118" s="355"/>
      <c r="Z118" s="355"/>
      <c r="AA118" s="355"/>
    </row>
    <row r="119" spans="1:27" s="208" customFormat="1" ht="16.5" customHeight="1">
      <c r="A119" s="186"/>
      <c r="B119" s="6" t="s">
        <v>248</v>
      </c>
      <c r="C119" s="137">
        <f>SUM(E121)</f>
        <v>234.6</v>
      </c>
      <c r="D119" s="346" t="s">
        <v>177</v>
      </c>
      <c r="E119" s="347" t="s">
        <v>183</v>
      </c>
      <c r="F119" s="323"/>
      <c r="G119" s="324"/>
      <c r="H119" s="210"/>
      <c r="J119" s="325"/>
      <c r="L119" s="326"/>
      <c r="M119" s="210"/>
      <c r="N119" s="212"/>
      <c r="O119" s="327"/>
      <c r="P119" s="210"/>
      <c r="Q119" s="212"/>
      <c r="R119" s="210"/>
      <c r="S119" s="211"/>
      <c r="T119" s="211"/>
      <c r="U119" s="211"/>
      <c r="V119" s="212"/>
      <c r="W119" s="211"/>
      <c r="X119" s="211"/>
      <c r="Y119" s="211"/>
      <c r="Z119" s="211"/>
      <c r="AA119" s="211"/>
    </row>
    <row r="120" spans="1:32" s="283" customFormat="1" ht="16.5" customHeight="1">
      <c r="A120" s="281"/>
      <c r="B120" s="141" t="s">
        <v>237</v>
      </c>
      <c r="C120" s="227">
        <v>234.6</v>
      </c>
      <c r="D120" s="346" t="s">
        <v>177</v>
      </c>
      <c r="E120" s="348">
        <f>C120-C119</f>
        <v>0</v>
      </c>
      <c r="I120" s="284"/>
      <c r="O120" s="285"/>
      <c r="S120"/>
      <c r="T120"/>
      <c r="U120"/>
      <c r="V120"/>
      <c r="W120"/>
      <c r="X120"/>
      <c r="Y120"/>
      <c r="Z120"/>
      <c r="AA120"/>
      <c r="AB120"/>
      <c r="AC120"/>
      <c r="AD120"/>
      <c r="AE120"/>
      <c r="AF120"/>
    </row>
    <row r="121" spans="1:27" s="264" customFormat="1" ht="32.25" customHeight="1">
      <c r="A121" s="256">
        <v>3</v>
      </c>
      <c r="B121" s="299" t="s">
        <v>288</v>
      </c>
      <c r="C121" s="358" t="s">
        <v>289</v>
      </c>
      <c r="D121" s="219">
        <v>1</v>
      </c>
      <c r="E121" s="226">
        <v>234.6</v>
      </c>
      <c r="F121" s="228">
        <f>E121*D121</f>
        <v>234.6</v>
      </c>
      <c r="G121" s="259">
        <v>57.7</v>
      </c>
      <c r="H121" s="228">
        <f>G121*2.54</f>
        <v>146.55800000000002</v>
      </c>
      <c r="I121" s="229">
        <f>F121*H121</f>
        <v>34382.5068</v>
      </c>
      <c r="J121" s="260">
        <v>178.84</v>
      </c>
      <c r="K121" s="229">
        <f>J121*D121</f>
        <v>178.84</v>
      </c>
      <c r="L121" s="228">
        <f>G121</f>
        <v>57.7</v>
      </c>
      <c r="M121" s="228">
        <f>L121*2.54</f>
        <v>146.55800000000002</v>
      </c>
      <c r="N121" s="229">
        <f>K121*M121</f>
        <v>26210.432720000004</v>
      </c>
      <c r="O121" s="231">
        <v>-1.237</v>
      </c>
      <c r="P121" s="228">
        <f>O121*2.54</f>
        <v>-3.14198</v>
      </c>
      <c r="Q121" s="229">
        <f>F121*P121</f>
        <v>-737.108508</v>
      </c>
      <c r="R121" s="228">
        <f>K121*P121</f>
        <v>-561.9117032</v>
      </c>
      <c r="S121" s="262"/>
      <c r="T121" s="262"/>
      <c r="U121" s="262"/>
      <c r="V121" s="263"/>
      <c r="W121" s="262"/>
      <c r="X121" s="262"/>
      <c r="Y121" s="262"/>
      <c r="Z121" s="262"/>
      <c r="AA121" s="262"/>
    </row>
    <row r="122" spans="1:27" s="264" customFormat="1" ht="16.5" customHeight="1">
      <c r="A122" s="256">
        <v>3</v>
      </c>
      <c r="B122" s="299" t="s">
        <v>887</v>
      </c>
      <c r="C122" s="358" t="s">
        <v>292</v>
      </c>
      <c r="D122" s="219">
        <v>1</v>
      </c>
      <c r="E122" s="226" t="s">
        <v>141</v>
      </c>
      <c r="F122" s="228"/>
      <c r="G122" s="259"/>
      <c r="H122" s="228"/>
      <c r="I122" s="229"/>
      <c r="J122" s="260"/>
      <c r="K122" s="229"/>
      <c r="L122" s="228"/>
      <c r="M122" s="228"/>
      <c r="N122" s="229"/>
      <c r="O122" s="231"/>
      <c r="P122" s="228"/>
      <c r="Q122" s="229"/>
      <c r="R122" s="228"/>
      <c r="S122" s="262"/>
      <c r="T122" s="262"/>
      <c r="U122" s="262"/>
      <c r="V122" s="263"/>
      <c r="W122" s="262"/>
      <c r="X122" s="262"/>
      <c r="Y122" s="262"/>
      <c r="Z122" s="262"/>
      <c r="AA122" s="262"/>
    </row>
    <row r="123" spans="1:27" s="264" customFormat="1" ht="16.5" customHeight="1">
      <c r="A123" s="256"/>
      <c r="B123" s="299"/>
      <c r="C123" s="358"/>
      <c r="D123" s="219"/>
      <c r="E123" s="226"/>
      <c r="F123" s="228"/>
      <c r="G123" s="259"/>
      <c r="H123" s="228"/>
      <c r="I123" s="229"/>
      <c r="J123" s="260"/>
      <c r="K123" s="229"/>
      <c r="L123" s="228"/>
      <c r="M123" s="228"/>
      <c r="N123" s="229"/>
      <c r="O123" s="231"/>
      <c r="P123" s="228"/>
      <c r="Q123" s="229"/>
      <c r="R123" s="228"/>
      <c r="S123" s="262"/>
      <c r="T123" s="262"/>
      <c r="U123" s="262"/>
      <c r="V123" s="263"/>
      <c r="W123" s="262"/>
      <c r="X123" s="262"/>
      <c r="Y123" s="262"/>
      <c r="Z123" s="262"/>
      <c r="AA123" s="262"/>
    </row>
    <row r="124" spans="1:27" s="281" customFormat="1" ht="16.5" customHeight="1">
      <c r="A124" s="281">
        <v>2</v>
      </c>
      <c r="B124" s="283" t="s">
        <v>888</v>
      </c>
      <c r="C124" s="281">
        <v>55521</v>
      </c>
      <c r="D124" s="219"/>
      <c r="E124" s="353"/>
      <c r="F124" s="228"/>
      <c r="G124" s="259"/>
      <c r="H124" s="228"/>
      <c r="I124" s="229"/>
      <c r="J124" s="260"/>
      <c r="K124" s="298"/>
      <c r="L124" s="261"/>
      <c r="M124" s="228"/>
      <c r="N124" s="229"/>
      <c r="O124" s="231"/>
      <c r="P124" s="228"/>
      <c r="Q124" s="229"/>
      <c r="R124" s="228"/>
      <c r="S124" s="355"/>
      <c r="T124" s="355"/>
      <c r="U124" s="355"/>
      <c r="V124" s="356"/>
      <c r="W124" s="355"/>
      <c r="X124" s="355"/>
      <c r="Y124" s="355"/>
      <c r="Z124" s="355"/>
      <c r="AA124" s="355"/>
    </row>
    <row r="125" spans="1:27" s="208" customFormat="1" ht="16.5" customHeight="1">
      <c r="A125" s="186"/>
      <c r="B125" s="6" t="s">
        <v>248</v>
      </c>
      <c r="C125" s="137">
        <f>SUM(E127)</f>
        <v>278.9</v>
      </c>
      <c r="D125" s="346" t="s">
        <v>177</v>
      </c>
      <c r="E125" s="347" t="s">
        <v>183</v>
      </c>
      <c r="F125" s="323"/>
      <c r="G125" s="324"/>
      <c r="H125" s="210"/>
      <c r="J125" s="325"/>
      <c r="L125" s="326"/>
      <c r="M125" s="210"/>
      <c r="N125" s="212"/>
      <c r="O125" s="327"/>
      <c r="P125" s="210"/>
      <c r="Q125" s="212"/>
      <c r="R125" s="210"/>
      <c r="S125" s="211"/>
      <c r="T125" s="211"/>
      <c r="U125" s="211"/>
      <c r="V125" s="212"/>
      <c r="W125" s="211"/>
      <c r="X125" s="211"/>
      <c r="Y125" s="211"/>
      <c r="Z125" s="211"/>
      <c r="AA125" s="211"/>
    </row>
    <row r="126" spans="1:32" s="283" customFormat="1" ht="16.5" customHeight="1">
      <c r="A126" s="281"/>
      <c r="B126" s="141" t="s">
        <v>237</v>
      </c>
      <c r="C126" s="227">
        <v>278.9</v>
      </c>
      <c r="D126" s="346" t="s">
        <v>177</v>
      </c>
      <c r="E126" s="348">
        <f>C126-C125</f>
        <v>0</v>
      </c>
      <c r="I126" s="284"/>
      <c r="O126" s="285"/>
      <c r="S126"/>
      <c r="T126"/>
      <c r="U126"/>
      <c r="V126"/>
      <c r="W126"/>
      <c r="X126"/>
      <c r="Y126"/>
      <c r="Z126"/>
      <c r="AA126"/>
      <c r="AB126"/>
      <c r="AC126"/>
      <c r="AD126"/>
      <c r="AE126"/>
      <c r="AF126"/>
    </row>
    <row r="127" spans="1:27" s="264" customFormat="1" ht="32.25" customHeight="1">
      <c r="A127" s="256">
        <v>3</v>
      </c>
      <c r="B127" s="299" t="s">
        <v>290</v>
      </c>
      <c r="C127" s="358" t="s">
        <v>291</v>
      </c>
      <c r="D127" s="219">
        <v>1</v>
      </c>
      <c r="E127" s="226">
        <v>278.9</v>
      </c>
      <c r="F127" s="228">
        <f>E127*D127</f>
        <v>278.9</v>
      </c>
      <c r="G127" s="259">
        <v>60.55</v>
      </c>
      <c r="H127" s="228">
        <f>G127*2.54</f>
        <v>153.797</v>
      </c>
      <c r="I127" s="229">
        <f>F127*H127</f>
        <v>42893.98329999999</v>
      </c>
      <c r="J127" s="260">
        <v>159.3</v>
      </c>
      <c r="K127" s="229">
        <f>J127*D127</f>
        <v>159.3</v>
      </c>
      <c r="L127" s="228">
        <f>G127</f>
        <v>60.55</v>
      </c>
      <c r="M127" s="228">
        <f>L127*2.54</f>
        <v>153.797</v>
      </c>
      <c r="N127" s="229">
        <f>K127*M127</f>
        <v>24499.862100000002</v>
      </c>
      <c r="O127" s="231">
        <v>-1.237</v>
      </c>
      <c r="P127" s="228">
        <f>O127*2.54</f>
        <v>-3.14198</v>
      </c>
      <c r="Q127" s="229">
        <f>F127*P127</f>
        <v>-876.298222</v>
      </c>
      <c r="R127" s="228">
        <f>K127*P127</f>
        <v>-500.5174140000001</v>
      </c>
      <c r="S127" s="262"/>
      <c r="T127" s="262"/>
      <c r="U127" s="262"/>
      <c r="V127" s="263"/>
      <c r="W127" s="262"/>
      <c r="X127" s="262"/>
      <c r="Y127" s="262"/>
      <c r="Z127" s="262"/>
      <c r="AA127" s="262"/>
    </row>
    <row r="128" spans="1:27" s="264" customFormat="1" ht="16.5" customHeight="1">
      <c r="A128" s="256">
        <v>3</v>
      </c>
      <c r="B128" s="299" t="s">
        <v>887</v>
      </c>
      <c r="C128" s="358" t="s">
        <v>292</v>
      </c>
      <c r="D128" s="219">
        <v>1</v>
      </c>
      <c r="E128" s="226" t="s">
        <v>141</v>
      </c>
      <c r="F128" s="228"/>
      <c r="G128" s="259"/>
      <c r="H128" s="228"/>
      <c r="I128" s="229"/>
      <c r="J128" s="260"/>
      <c r="K128" s="229"/>
      <c r="L128" s="228"/>
      <c r="M128" s="228"/>
      <c r="N128" s="229"/>
      <c r="O128" s="231"/>
      <c r="P128" s="228"/>
      <c r="Q128" s="229"/>
      <c r="R128" s="228"/>
      <c r="S128" s="262"/>
      <c r="T128" s="262"/>
      <c r="U128" s="262"/>
      <c r="V128" s="263"/>
      <c r="W128" s="262"/>
      <c r="X128" s="262"/>
      <c r="Y128" s="262"/>
      <c r="Z128" s="262"/>
      <c r="AA128" s="262"/>
    </row>
    <row r="129" spans="1:27" s="264" customFormat="1" ht="16.5" customHeight="1">
      <c r="A129" s="256"/>
      <c r="B129" s="299"/>
      <c r="C129" s="358"/>
      <c r="D129" s="219"/>
      <c r="E129" s="226"/>
      <c r="F129" s="228"/>
      <c r="G129" s="259"/>
      <c r="H129" s="228"/>
      <c r="I129" s="229"/>
      <c r="J129" s="260"/>
      <c r="K129" s="229"/>
      <c r="L129" s="228"/>
      <c r="M129" s="228"/>
      <c r="N129" s="229"/>
      <c r="O129" s="231"/>
      <c r="P129" s="228"/>
      <c r="Q129" s="229"/>
      <c r="R129" s="228"/>
      <c r="S129" s="262"/>
      <c r="T129" s="262"/>
      <c r="U129" s="262"/>
      <c r="V129" s="263"/>
      <c r="W129" s="262"/>
      <c r="X129" s="262"/>
      <c r="Y129" s="262"/>
      <c r="Z129" s="262"/>
      <c r="AA129" s="262"/>
    </row>
    <row r="130" spans="1:22" s="257" customFormat="1" ht="16.5" customHeight="1">
      <c r="A130" s="235"/>
      <c r="B130" s="359"/>
      <c r="C130" s="310"/>
      <c r="D130" s="243"/>
      <c r="E130" s="360"/>
      <c r="F130" s="315"/>
      <c r="G130" s="316"/>
      <c r="H130" s="315"/>
      <c r="I130" s="317"/>
      <c r="J130" s="361"/>
      <c r="K130" s="317"/>
      <c r="L130" s="319"/>
      <c r="M130" s="315"/>
      <c r="N130" s="317"/>
      <c r="O130" s="320"/>
      <c r="P130" s="315"/>
      <c r="Q130" s="317"/>
      <c r="R130" s="315"/>
      <c r="V130" s="229"/>
    </row>
    <row r="131" spans="1:22" s="257" customFormat="1" ht="16.5" customHeight="1">
      <c r="A131" s="192">
        <v>1</v>
      </c>
      <c r="B131" s="362" t="s">
        <v>293</v>
      </c>
      <c r="C131" s="363">
        <v>55486</v>
      </c>
      <c r="D131" s="219"/>
      <c r="E131" s="353"/>
      <c r="F131" s="289"/>
      <c r="G131" s="294"/>
      <c r="H131" s="289"/>
      <c r="I131" s="290"/>
      <c r="J131" s="364"/>
      <c r="K131" s="290"/>
      <c r="L131" s="131"/>
      <c r="M131" s="289"/>
      <c r="N131" s="290"/>
      <c r="O131" s="231"/>
      <c r="P131" s="289"/>
      <c r="Q131" s="290"/>
      <c r="R131" s="289"/>
      <c r="V131" s="229"/>
    </row>
    <row r="132" spans="1:22" s="374" customFormat="1" ht="18" customHeight="1">
      <c r="A132" s="365"/>
      <c r="B132" s="366" t="s">
        <v>248</v>
      </c>
      <c r="C132" s="216">
        <f>C150+C266+C373+C390+C402+SUM(F135:F146)</f>
        <v>36889.3</v>
      </c>
      <c r="D132" s="213" t="s">
        <v>177</v>
      </c>
      <c r="E132" s="367" t="s">
        <v>183</v>
      </c>
      <c r="F132" s="368"/>
      <c r="G132" s="369"/>
      <c r="H132" s="368"/>
      <c r="I132" s="370"/>
      <c r="J132" s="371"/>
      <c r="K132" s="370"/>
      <c r="L132" s="372"/>
      <c r="M132" s="368"/>
      <c r="N132" s="370"/>
      <c r="O132" s="373"/>
      <c r="P132" s="368"/>
      <c r="Q132" s="370"/>
      <c r="R132" s="368"/>
      <c r="V132" s="370"/>
    </row>
    <row r="133" spans="1:22" s="384" customFormat="1" ht="16.5" customHeight="1">
      <c r="A133" s="375"/>
      <c r="B133" s="376" t="s">
        <v>237</v>
      </c>
      <c r="C133" s="621">
        <v>36909</v>
      </c>
      <c r="D133" s="213" t="s">
        <v>177</v>
      </c>
      <c r="E133" s="377">
        <f>C133-C132</f>
        <v>19.69999999999709</v>
      </c>
      <c r="F133" s="223"/>
      <c r="G133" s="378"/>
      <c r="H133" s="379"/>
      <c r="I133" s="380"/>
      <c r="J133" s="371"/>
      <c r="K133" s="380"/>
      <c r="L133" s="381"/>
      <c r="M133" s="379"/>
      <c r="N133" s="380"/>
      <c r="O133" s="382"/>
      <c r="P133" s="379"/>
      <c r="Q133" s="380"/>
      <c r="R133" s="383"/>
      <c r="V133" s="385"/>
    </row>
    <row r="134" spans="1:22" s="384" customFormat="1" ht="16.5" customHeight="1">
      <c r="A134" s="375"/>
      <c r="B134" s="386" t="s">
        <v>294</v>
      </c>
      <c r="C134" s="292">
        <f>SUM(K158:K416)</f>
        <v>42713.031947427415</v>
      </c>
      <c r="D134" s="213" t="s">
        <v>182</v>
      </c>
      <c r="E134" s="377"/>
      <c r="F134" s="223"/>
      <c r="G134" s="378"/>
      <c r="H134" s="379"/>
      <c r="I134" s="380"/>
      <c r="J134" s="371"/>
      <c r="K134" s="380"/>
      <c r="L134" s="381"/>
      <c r="M134" s="379"/>
      <c r="N134" s="380"/>
      <c r="O134" s="382"/>
      <c r="P134" s="379"/>
      <c r="Q134" s="380"/>
      <c r="R134" s="383"/>
      <c r="V134" s="385"/>
    </row>
    <row r="135" spans="1:22" s="257" customFormat="1" ht="16.5" customHeight="1">
      <c r="A135" s="256">
        <v>2</v>
      </c>
      <c r="B135" s="301" t="s">
        <v>295</v>
      </c>
      <c r="C135" s="304" t="s">
        <v>296</v>
      </c>
      <c r="D135" s="219">
        <v>1</v>
      </c>
      <c r="E135" s="226">
        <v>0</v>
      </c>
      <c r="F135" s="228">
        <f aca="true" t="shared" si="30" ref="F135:F146">E135*D135</f>
        <v>0</v>
      </c>
      <c r="G135" s="259">
        <v>51.75</v>
      </c>
      <c r="H135" s="228">
        <f aca="true" t="shared" si="31" ref="H135:H146">G135*2.54</f>
        <v>131.445</v>
      </c>
      <c r="I135" s="229">
        <f aca="true" t="shared" si="32" ref="I135:I146">F135*H135</f>
        <v>0</v>
      </c>
      <c r="J135" s="260">
        <v>3.7</v>
      </c>
      <c r="K135" s="228">
        <f aca="true" t="shared" si="33" ref="K135:K146">J135*D135</f>
        <v>3.7</v>
      </c>
      <c r="L135" s="228">
        <f aca="true" t="shared" si="34" ref="L135:L146">G135</f>
        <v>51.75</v>
      </c>
      <c r="M135" s="228">
        <f aca="true" t="shared" si="35" ref="M135:M146">L135*2.54</f>
        <v>131.445</v>
      </c>
      <c r="N135" s="229">
        <f aca="true" t="shared" si="36" ref="N135:N146">K135*M135</f>
        <v>486.3465</v>
      </c>
      <c r="O135" s="231">
        <v>0</v>
      </c>
      <c r="P135" s="228">
        <f aca="true" t="shared" si="37" ref="P135:P146">O135*2.54</f>
        <v>0</v>
      </c>
      <c r="Q135" s="229">
        <f aca="true" t="shared" si="38" ref="Q135:Q146">F135*P135</f>
        <v>0</v>
      </c>
      <c r="R135" s="228">
        <f aca="true" t="shared" si="39" ref="R135:R146">K135*P135</f>
        <v>0</v>
      </c>
      <c r="V135" s="229"/>
    </row>
    <row r="136" spans="1:22" s="257" customFormat="1" ht="16.5" customHeight="1">
      <c r="A136" s="256">
        <v>2</v>
      </c>
      <c r="B136" s="301" t="s">
        <v>297</v>
      </c>
      <c r="C136" s="304" t="s">
        <v>296</v>
      </c>
      <c r="D136" s="219">
        <v>1</v>
      </c>
      <c r="E136" s="226">
        <v>0</v>
      </c>
      <c r="F136" s="228">
        <f t="shared" si="30"/>
        <v>0</v>
      </c>
      <c r="G136" s="259">
        <v>51.75</v>
      </c>
      <c r="H136" s="228">
        <f t="shared" si="31"/>
        <v>131.445</v>
      </c>
      <c r="I136" s="229">
        <f t="shared" si="32"/>
        <v>0</v>
      </c>
      <c r="J136" s="260">
        <v>3.7</v>
      </c>
      <c r="K136" s="228">
        <f t="shared" si="33"/>
        <v>3.7</v>
      </c>
      <c r="L136" s="228">
        <f t="shared" si="34"/>
        <v>51.75</v>
      </c>
      <c r="M136" s="228">
        <f t="shared" si="35"/>
        <v>131.445</v>
      </c>
      <c r="N136" s="229">
        <f t="shared" si="36"/>
        <v>486.3465</v>
      </c>
      <c r="O136" s="231">
        <v>-1.7</v>
      </c>
      <c r="P136" s="228">
        <f t="shared" si="37"/>
        <v>-4.318</v>
      </c>
      <c r="Q136" s="229">
        <f t="shared" si="38"/>
        <v>0</v>
      </c>
      <c r="R136" s="228">
        <f t="shared" si="39"/>
        <v>-15.9766</v>
      </c>
      <c r="V136" s="229"/>
    </row>
    <row r="137" spans="1:22" s="257" customFormat="1" ht="16.5" customHeight="1">
      <c r="A137" s="256">
        <v>2</v>
      </c>
      <c r="B137" s="301" t="s">
        <v>298</v>
      </c>
      <c r="C137" s="304" t="s">
        <v>296</v>
      </c>
      <c r="D137" s="219">
        <v>1</v>
      </c>
      <c r="E137" s="226">
        <v>0</v>
      </c>
      <c r="F137" s="228">
        <f t="shared" si="30"/>
        <v>0</v>
      </c>
      <c r="G137" s="259">
        <v>51.75</v>
      </c>
      <c r="H137" s="228">
        <f t="shared" si="31"/>
        <v>131.445</v>
      </c>
      <c r="I137" s="229">
        <f t="shared" si="32"/>
        <v>0</v>
      </c>
      <c r="J137" s="260">
        <v>3.7</v>
      </c>
      <c r="K137" s="228">
        <f t="shared" si="33"/>
        <v>3.7</v>
      </c>
      <c r="L137" s="228">
        <f t="shared" si="34"/>
        <v>51.75</v>
      </c>
      <c r="M137" s="228">
        <f t="shared" si="35"/>
        <v>131.445</v>
      </c>
      <c r="N137" s="229">
        <f t="shared" si="36"/>
        <v>486.3465</v>
      </c>
      <c r="O137" s="231">
        <v>-2.3</v>
      </c>
      <c r="P137" s="228">
        <f t="shared" si="37"/>
        <v>-5.842</v>
      </c>
      <c r="Q137" s="229">
        <f t="shared" si="38"/>
        <v>0</v>
      </c>
      <c r="R137" s="228">
        <f t="shared" si="39"/>
        <v>-21.6154</v>
      </c>
      <c r="V137" s="229"/>
    </row>
    <row r="138" spans="1:22" s="257" customFormat="1" ht="16.5" customHeight="1">
      <c r="A138" s="256">
        <v>2</v>
      </c>
      <c r="B138" s="301" t="s">
        <v>299</v>
      </c>
      <c r="C138" s="304" t="s">
        <v>296</v>
      </c>
      <c r="D138" s="219">
        <v>1</v>
      </c>
      <c r="E138" s="226">
        <v>0</v>
      </c>
      <c r="F138" s="228">
        <f t="shared" si="30"/>
        <v>0</v>
      </c>
      <c r="G138" s="259">
        <v>51.75</v>
      </c>
      <c r="H138" s="228">
        <f t="shared" si="31"/>
        <v>131.445</v>
      </c>
      <c r="I138" s="229">
        <f t="shared" si="32"/>
        <v>0</v>
      </c>
      <c r="J138" s="260">
        <v>3.7</v>
      </c>
      <c r="K138" s="228">
        <f t="shared" si="33"/>
        <v>3.7</v>
      </c>
      <c r="L138" s="228">
        <f t="shared" si="34"/>
        <v>51.75</v>
      </c>
      <c r="M138" s="228">
        <f t="shared" si="35"/>
        <v>131.445</v>
      </c>
      <c r="N138" s="229">
        <f t="shared" si="36"/>
        <v>486.3465</v>
      </c>
      <c r="O138" s="231">
        <v>-1.7</v>
      </c>
      <c r="P138" s="228">
        <f t="shared" si="37"/>
        <v>-4.318</v>
      </c>
      <c r="Q138" s="229">
        <f t="shared" si="38"/>
        <v>0</v>
      </c>
      <c r="R138" s="228">
        <f t="shared" si="39"/>
        <v>-15.9766</v>
      </c>
      <c r="V138" s="229"/>
    </row>
    <row r="139" spans="1:22" s="257" customFormat="1" ht="16.5" customHeight="1">
      <c r="A139" s="256">
        <v>2</v>
      </c>
      <c r="B139" s="301" t="s">
        <v>300</v>
      </c>
      <c r="C139" s="304" t="s">
        <v>296</v>
      </c>
      <c r="D139" s="219">
        <v>1</v>
      </c>
      <c r="E139" s="226">
        <v>7.3</v>
      </c>
      <c r="F139" s="228">
        <f t="shared" si="30"/>
        <v>7.3</v>
      </c>
      <c r="G139" s="259">
        <v>51.75</v>
      </c>
      <c r="H139" s="228">
        <f t="shared" si="31"/>
        <v>131.445</v>
      </c>
      <c r="I139" s="229">
        <f t="shared" si="32"/>
        <v>959.5484999999999</v>
      </c>
      <c r="J139" s="260">
        <v>3.7</v>
      </c>
      <c r="K139" s="228">
        <f t="shared" si="33"/>
        <v>3.7</v>
      </c>
      <c r="L139" s="228">
        <f t="shared" si="34"/>
        <v>51.75</v>
      </c>
      <c r="M139" s="228">
        <f t="shared" si="35"/>
        <v>131.445</v>
      </c>
      <c r="N139" s="229">
        <f t="shared" si="36"/>
        <v>486.3465</v>
      </c>
      <c r="O139" s="231">
        <v>1.7</v>
      </c>
      <c r="P139" s="228">
        <f t="shared" si="37"/>
        <v>4.318</v>
      </c>
      <c r="Q139" s="229">
        <f t="shared" si="38"/>
        <v>31.521399999999996</v>
      </c>
      <c r="R139" s="228">
        <f t="shared" si="39"/>
        <v>15.9766</v>
      </c>
      <c r="V139" s="229"/>
    </row>
    <row r="140" spans="1:22" s="257" customFormat="1" ht="16.5" customHeight="1">
      <c r="A140" s="256">
        <v>2</v>
      </c>
      <c r="B140" s="301" t="s">
        <v>301</v>
      </c>
      <c r="C140" s="304" t="s">
        <v>302</v>
      </c>
      <c r="D140" s="219">
        <v>1</v>
      </c>
      <c r="E140" s="226">
        <v>8</v>
      </c>
      <c r="F140" s="228">
        <f t="shared" si="30"/>
        <v>8</v>
      </c>
      <c r="G140" s="259">
        <v>48.55</v>
      </c>
      <c r="H140" s="228">
        <f t="shared" si="31"/>
        <v>123.317</v>
      </c>
      <c r="I140" s="229">
        <f t="shared" si="32"/>
        <v>986.536</v>
      </c>
      <c r="J140" s="331">
        <v>7.13</v>
      </c>
      <c r="K140" s="229">
        <f t="shared" si="33"/>
        <v>7.13</v>
      </c>
      <c r="L140" s="261">
        <f t="shared" si="34"/>
        <v>48.55</v>
      </c>
      <c r="M140" s="228">
        <f t="shared" si="35"/>
        <v>123.317</v>
      </c>
      <c r="N140" s="229">
        <f t="shared" si="36"/>
        <v>879.2502099999999</v>
      </c>
      <c r="O140" s="231">
        <v>0</v>
      </c>
      <c r="P140" s="228">
        <f t="shared" si="37"/>
        <v>0</v>
      </c>
      <c r="Q140" s="229">
        <f t="shared" si="38"/>
        <v>0</v>
      </c>
      <c r="R140" s="228">
        <f t="shared" si="39"/>
        <v>0</v>
      </c>
      <c r="V140" s="229"/>
    </row>
    <row r="141" spans="1:22" s="257" customFormat="1" ht="33" customHeight="1">
      <c r="A141" s="256">
        <v>2</v>
      </c>
      <c r="B141" s="387" t="s">
        <v>303</v>
      </c>
      <c r="C141" s="388" t="s">
        <v>304</v>
      </c>
      <c r="D141" s="219">
        <v>1</v>
      </c>
      <c r="E141" s="226">
        <v>13.2</v>
      </c>
      <c r="F141" s="228">
        <f t="shared" si="30"/>
        <v>13.2</v>
      </c>
      <c r="G141" s="259">
        <v>48.64</v>
      </c>
      <c r="H141" s="228">
        <f t="shared" si="31"/>
        <v>123.54560000000001</v>
      </c>
      <c r="I141" s="229">
        <f t="shared" si="32"/>
        <v>1630.80192</v>
      </c>
      <c r="J141" s="260">
        <f>E141/SS_Density</f>
        <v>1.6444499813130684</v>
      </c>
      <c r="K141" s="229">
        <f t="shared" si="33"/>
        <v>1.6444499813130684</v>
      </c>
      <c r="L141" s="261">
        <f t="shared" si="34"/>
        <v>48.64</v>
      </c>
      <c r="M141" s="228">
        <f t="shared" si="35"/>
        <v>123.54560000000001</v>
      </c>
      <c r="N141" s="229">
        <f t="shared" si="36"/>
        <v>203.16455961131183</v>
      </c>
      <c r="O141" s="231">
        <v>0</v>
      </c>
      <c r="P141" s="228">
        <f t="shared" si="37"/>
        <v>0</v>
      </c>
      <c r="Q141" s="229">
        <f t="shared" si="38"/>
        <v>0</v>
      </c>
      <c r="R141" s="228">
        <f t="shared" si="39"/>
        <v>0</v>
      </c>
      <c r="V141" s="229"/>
    </row>
    <row r="142" spans="1:22" s="257" customFormat="1" ht="16.5" customHeight="1">
      <c r="A142" s="256">
        <v>2</v>
      </c>
      <c r="B142" s="257" t="s">
        <v>305</v>
      </c>
      <c r="C142" s="304" t="s">
        <v>302</v>
      </c>
      <c r="D142" s="219">
        <v>1</v>
      </c>
      <c r="E142" s="226">
        <v>8</v>
      </c>
      <c r="F142" s="228">
        <f t="shared" si="30"/>
        <v>8</v>
      </c>
      <c r="G142" s="259">
        <v>28.72</v>
      </c>
      <c r="H142" s="228">
        <f t="shared" si="31"/>
        <v>72.94879999999999</v>
      </c>
      <c r="I142" s="229">
        <f t="shared" si="32"/>
        <v>583.5903999999999</v>
      </c>
      <c r="J142" s="331">
        <v>7.13</v>
      </c>
      <c r="K142" s="228">
        <f t="shared" si="33"/>
        <v>7.13</v>
      </c>
      <c r="L142" s="261">
        <f t="shared" si="34"/>
        <v>28.72</v>
      </c>
      <c r="M142" s="228">
        <f t="shared" si="35"/>
        <v>72.94879999999999</v>
      </c>
      <c r="N142" s="229">
        <f t="shared" si="36"/>
        <v>520.1249439999999</v>
      </c>
      <c r="O142" s="231">
        <v>0</v>
      </c>
      <c r="P142" s="228">
        <f t="shared" si="37"/>
        <v>0</v>
      </c>
      <c r="Q142" s="229">
        <f t="shared" si="38"/>
        <v>0</v>
      </c>
      <c r="R142" s="228">
        <f t="shared" si="39"/>
        <v>0</v>
      </c>
      <c r="V142" s="229"/>
    </row>
    <row r="143" spans="1:22" s="257" customFormat="1" ht="33" customHeight="1">
      <c r="A143" s="256">
        <v>2</v>
      </c>
      <c r="B143" s="387" t="s">
        <v>306</v>
      </c>
      <c r="C143" s="389" t="s">
        <v>304</v>
      </c>
      <c r="D143" s="219">
        <v>1</v>
      </c>
      <c r="E143" s="226">
        <v>15.3</v>
      </c>
      <c r="F143" s="228">
        <f t="shared" si="30"/>
        <v>15.3</v>
      </c>
      <c r="G143" s="259">
        <v>25.75</v>
      </c>
      <c r="H143" s="228">
        <f t="shared" si="31"/>
        <v>65.405</v>
      </c>
      <c r="I143" s="229">
        <f t="shared" si="32"/>
        <v>1000.6965</v>
      </c>
      <c r="J143" s="260">
        <f>E143/SS_Density</f>
        <v>1.9060670237946933</v>
      </c>
      <c r="K143" s="229">
        <f t="shared" si="33"/>
        <v>1.9060670237946933</v>
      </c>
      <c r="L143" s="261">
        <f t="shared" si="34"/>
        <v>25.75</v>
      </c>
      <c r="M143" s="228">
        <f t="shared" si="35"/>
        <v>65.405</v>
      </c>
      <c r="N143" s="229">
        <f t="shared" si="36"/>
        <v>124.66631369129192</v>
      </c>
      <c r="O143" s="231">
        <v>0</v>
      </c>
      <c r="P143" s="228">
        <f t="shared" si="37"/>
        <v>0</v>
      </c>
      <c r="Q143" s="229">
        <f t="shared" si="38"/>
        <v>0</v>
      </c>
      <c r="R143" s="228">
        <f t="shared" si="39"/>
        <v>0</v>
      </c>
      <c r="V143" s="229"/>
    </row>
    <row r="144" spans="1:22" s="257" customFormat="1" ht="16.5" customHeight="1">
      <c r="A144" s="256">
        <v>2</v>
      </c>
      <c r="B144" s="301" t="s">
        <v>307</v>
      </c>
      <c r="C144" s="256" t="s">
        <v>308</v>
      </c>
      <c r="D144" s="219">
        <v>1</v>
      </c>
      <c r="E144" s="226">
        <v>5.3</v>
      </c>
      <c r="F144" s="228">
        <f t="shared" si="30"/>
        <v>5.3</v>
      </c>
      <c r="G144" s="259">
        <v>23.41</v>
      </c>
      <c r="H144" s="228">
        <f t="shared" si="31"/>
        <v>59.461400000000005</v>
      </c>
      <c r="I144" s="229">
        <f t="shared" si="32"/>
        <v>315.14542</v>
      </c>
      <c r="J144" s="340">
        <v>0</v>
      </c>
      <c r="K144" s="229">
        <f t="shared" si="33"/>
        <v>0</v>
      </c>
      <c r="L144" s="261">
        <f t="shared" si="34"/>
        <v>23.41</v>
      </c>
      <c r="M144" s="228">
        <f t="shared" si="35"/>
        <v>59.461400000000005</v>
      </c>
      <c r="N144" s="229">
        <f t="shared" si="36"/>
        <v>0</v>
      </c>
      <c r="O144" s="231">
        <v>0</v>
      </c>
      <c r="P144" s="228">
        <f t="shared" si="37"/>
        <v>0</v>
      </c>
      <c r="Q144" s="229">
        <f t="shared" si="38"/>
        <v>0</v>
      </c>
      <c r="R144" s="228">
        <f t="shared" si="39"/>
        <v>0</v>
      </c>
      <c r="V144" s="229"/>
    </row>
    <row r="145" spans="1:22" s="257" customFormat="1" ht="16.5" customHeight="1">
      <c r="A145" s="256">
        <v>2</v>
      </c>
      <c r="B145" s="257" t="s">
        <v>309</v>
      </c>
      <c r="C145" s="258">
        <v>52410</v>
      </c>
      <c r="D145" s="219">
        <v>1</v>
      </c>
      <c r="E145" s="226">
        <v>6.4</v>
      </c>
      <c r="F145" s="228">
        <f t="shared" si="30"/>
        <v>6.4</v>
      </c>
      <c r="G145" s="259">
        <v>26.13</v>
      </c>
      <c r="H145" s="228">
        <f t="shared" si="31"/>
        <v>66.3702</v>
      </c>
      <c r="I145" s="229">
        <f t="shared" si="32"/>
        <v>424.76928</v>
      </c>
      <c r="J145" s="331">
        <v>5.76</v>
      </c>
      <c r="K145" s="228">
        <f t="shared" si="33"/>
        <v>5.76</v>
      </c>
      <c r="L145" s="261">
        <f t="shared" si="34"/>
        <v>26.13</v>
      </c>
      <c r="M145" s="228">
        <f t="shared" si="35"/>
        <v>66.3702</v>
      </c>
      <c r="N145" s="229">
        <f t="shared" si="36"/>
        <v>382.292352</v>
      </c>
      <c r="O145" s="231">
        <v>0</v>
      </c>
      <c r="P145" s="228">
        <f t="shared" si="37"/>
        <v>0</v>
      </c>
      <c r="Q145" s="229">
        <f t="shared" si="38"/>
        <v>0</v>
      </c>
      <c r="R145" s="228">
        <f t="shared" si="39"/>
        <v>0</v>
      </c>
      <c r="V145" s="229"/>
    </row>
    <row r="146" spans="1:22" s="257" customFormat="1" ht="16.5" customHeight="1">
      <c r="A146" s="256">
        <v>2</v>
      </c>
      <c r="B146" s="301" t="s">
        <v>310</v>
      </c>
      <c r="C146" s="304" t="s">
        <v>308</v>
      </c>
      <c r="D146" s="219">
        <v>1</v>
      </c>
      <c r="E146" s="226">
        <v>10.5</v>
      </c>
      <c r="F146" s="228">
        <f t="shared" si="30"/>
        <v>10.5</v>
      </c>
      <c r="G146" s="259">
        <v>25.92</v>
      </c>
      <c r="H146" s="228">
        <f t="shared" si="31"/>
        <v>65.83680000000001</v>
      </c>
      <c r="I146" s="229">
        <f t="shared" si="32"/>
        <v>691.2864000000001</v>
      </c>
      <c r="J146" s="340">
        <v>0</v>
      </c>
      <c r="K146" s="229">
        <f t="shared" si="33"/>
        <v>0</v>
      </c>
      <c r="L146" s="261">
        <f t="shared" si="34"/>
        <v>25.92</v>
      </c>
      <c r="M146" s="228">
        <f t="shared" si="35"/>
        <v>65.83680000000001</v>
      </c>
      <c r="N146" s="229">
        <f t="shared" si="36"/>
        <v>0</v>
      </c>
      <c r="O146" s="231">
        <v>0</v>
      </c>
      <c r="P146" s="228">
        <f t="shared" si="37"/>
        <v>0</v>
      </c>
      <c r="Q146" s="229">
        <f t="shared" si="38"/>
        <v>0</v>
      </c>
      <c r="R146" s="228">
        <f t="shared" si="39"/>
        <v>0</v>
      </c>
      <c r="V146" s="256"/>
    </row>
    <row r="147" spans="1:22" s="384" customFormat="1" ht="16.5" customHeight="1">
      <c r="A147" s="375"/>
      <c r="B147" s="386"/>
      <c r="C147" s="292"/>
      <c r="D147" s="213"/>
      <c r="E147" s="377"/>
      <c r="F147" s="223"/>
      <c r="G147" s="378"/>
      <c r="H147" s="379"/>
      <c r="I147" s="380"/>
      <c r="J147" s="371"/>
      <c r="K147" s="380"/>
      <c r="L147" s="381"/>
      <c r="M147" s="379"/>
      <c r="N147" s="380"/>
      <c r="O147" s="382"/>
      <c r="P147" s="379"/>
      <c r="Q147" s="380"/>
      <c r="R147" s="383"/>
      <c r="V147" s="385"/>
    </row>
    <row r="148" spans="1:22" s="8" customFormat="1" ht="16.5" customHeight="1">
      <c r="A148" s="390"/>
      <c r="B148" s="391"/>
      <c r="C148" s="392"/>
      <c r="D148" s="393"/>
      <c r="E148" s="394"/>
      <c r="F148" s="395"/>
      <c r="G148" s="395"/>
      <c r="H148" s="395"/>
      <c r="I148" s="395"/>
      <c r="J148" s="396"/>
      <c r="K148" s="395"/>
      <c r="L148" s="395"/>
      <c r="M148" s="395"/>
      <c r="N148" s="395"/>
      <c r="O148" s="396"/>
      <c r="P148" s="395"/>
      <c r="Q148" s="395"/>
      <c r="R148" s="395"/>
      <c r="V148" s="204"/>
    </row>
    <row r="149" spans="1:22" s="8" customFormat="1" ht="16.5" customHeight="1">
      <c r="A149" s="186">
        <v>2</v>
      </c>
      <c r="B149" s="208" t="s">
        <v>311</v>
      </c>
      <c r="C149" s="212">
        <v>49891</v>
      </c>
      <c r="D149" s="322"/>
      <c r="E149" s="191"/>
      <c r="F149" s="323"/>
      <c r="G149" s="324"/>
      <c r="H149" s="323"/>
      <c r="I149" s="204"/>
      <c r="J149" s="325"/>
      <c r="K149" s="212"/>
      <c r="L149" s="397"/>
      <c r="M149" s="323"/>
      <c r="N149" s="212"/>
      <c r="O149" s="342"/>
      <c r="P149" s="323"/>
      <c r="Q149" s="204"/>
      <c r="R149" s="323"/>
      <c r="V149" s="204"/>
    </row>
    <row r="150" spans="1:22" s="8" customFormat="1" ht="16.5" customHeight="1">
      <c r="A150" s="10"/>
      <c r="B150" s="366" t="s">
        <v>248</v>
      </c>
      <c r="C150" s="216">
        <f>SUM(F161:F262)</f>
        <v>7229.4</v>
      </c>
      <c r="D150" s="213" t="s">
        <v>177</v>
      </c>
      <c r="E150" s="367" t="s">
        <v>183</v>
      </c>
      <c r="F150" s="323"/>
      <c r="G150" s="324"/>
      <c r="H150" s="323"/>
      <c r="J150" s="325"/>
      <c r="L150" s="397"/>
      <c r="M150" s="323"/>
      <c r="N150" s="212"/>
      <c r="O150" s="342"/>
      <c r="P150" s="323"/>
      <c r="Q150" s="204"/>
      <c r="R150" s="323"/>
      <c r="V150" s="204"/>
    </row>
    <row r="151" spans="1:32" s="257" customFormat="1" ht="16.5" customHeight="1">
      <c r="A151" s="256"/>
      <c r="B151" s="376" t="s">
        <v>237</v>
      </c>
      <c r="C151" s="398">
        <v>7249</v>
      </c>
      <c r="D151" s="399" t="s">
        <v>177</v>
      </c>
      <c r="E151" s="377">
        <f>C151-C150</f>
        <v>19.600000000000364</v>
      </c>
      <c r="I151" s="400"/>
      <c r="O151" s="401"/>
      <c r="S151"/>
      <c r="T151"/>
      <c r="U151"/>
      <c r="V151"/>
      <c r="W151"/>
      <c r="X151"/>
      <c r="Y151"/>
      <c r="Z151"/>
      <c r="AA151"/>
      <c r="AB151"/>
      <c r="AC151"/>
      <c r="AD151"/>
      <c r="AE151"/>
      <c r="AF151"/>
    </row>
    <row r="152" spans="1:22" s="8" customFormat="1" ht="16.5" customHeight="1">
      <c r="A152" s="10"/>
      <c r="B152" s="402"/>
      <c r="C152" s="403"/>
      <c r="D152" s="213"/>
      <c r="E152" s="191"/>
      <c r="F152" s="323"/>
      <c r="G152" s="324"/>
      <c r="H152" s="323"/>
      <c r="I152" s="204"/>
      <c r="J152" s="325"/>
      <c r="K152" s="212"/>
      <c r="L152" s="397"/>
      <c r="M152" s="323"/>
      <c r="N152" s="212"/>
      <c r="O152" s="342"/>
      <c r="P152" s="323"/>
      <c r="Q152" s="204"/>
      <c r="R152" s="323"/>
      <c r="V152" s="204"/>
    </row>
    <row r="153" spans="1:22" s="8" customFormat="1" ht="16.5" customHeight="1">
      <c r="A153" s="10">
        <v>3</v>
      </c>
      <c r="B153" s="125" t="s">
        <v>312</v>
      </c>
      <c r="C153" s="404">
        <v>5501</v>
      </c>
      <c r="D153" s="213" t="s">
        <v>177</v>
      </c>
      <c r="E153" s="191"/>
      <c r="F153" s="323"/>
      <c r="G153" s="324"/>
      <c r="H153" s="323"/>
      <c r="I153" s="204"/>
      <c r="J153" s="325"/>
      <c r="K153" s="212"/>
      <c r="L153" s="397"/>
      <c r="M153" s="323"/>
      <c r="N153" s="212"/>
      <c r="O153" s="342"/>
      <c r="P153" s="323"/>
      <c r="Q153" s="204"/>
      <c r="R153" s="323"/>
      <c r="V153" s="204"/>
    </row>
    <row r="154" spans="1:22" s="8" customFormat="1" ht="16.5" customHeight="1">
      <c r="A154" s="10"/>
      <c r="B154" s="125" t="s">
        <v>313</v>
      </c>
      <c r="C154" s="404">
        <v>6647</v>
      </c>
      <c r="D154" s="213" t="s">
        <v>177</v>
      </c>
      <c r="E154" s="191"/>
      <c r="F154" s="191"/>
      <c r="G154" s="405"/>
      <c r="H154" s="323"/>
      <c r="I154" s="204"/>
      <c r="J154" s="325"/>
      <c r="K154" s="212"/>
      <c r="L154" s="397"/>
      <c r="M154" s="323"/>
      <c r="N154" s="212"/>
      <c r="O154" s="342"/>
      <c r="P154" s="323"/>
      <c r="Q154" s="204"/>
      <c r="R154" s="323"/>
      <c r="V154" s="204"/>
    </row>
    <row r="155" spans="1:22" s="8" customFormat="1" ht="16.5" customHeight="1">
      <c r="A155" s="10"/>
      <c r="B155" s="125" t="s">
        <v>314</v>
      </c>
      <c r="C155" s="406">
        <f>C154-C153</f>
        <v>1146</v>
      </c>
      <c r="D155" s="213" t="s">
        <v>177</v>
      </c>
      <c r="F155" s="323"/>
      <c r="G155" s="324"/>
      <c r="H155" s="323"/>
      <c r="I155" s="204"/>
      <c r="J155" s="325"/>
      <c r="K155" s="212"/>
      <c r="L155" s="397"/>
      <c r="M155" s="323"/>
      <c r="N155" s="212"/>
      <c r="O155" s="342"/>
      <c r="P155" s="323"/>
      <c r="Q155" s="204"/>
      <c r="R155" s="323"/>
      <c r="V155" s="204"/>
    </row>
    <row r="156" spans="1:22" s="8" customFormat="1" ht="16.5" customHeight="1">
      <c r="A156" s="10"/>
      <c r="B156" s="125" t="s">
        <v>315</v>
      </c>
      <c r="C156" s="137">
        <f>Oil_wt_2/Oil_density</f>
        <v>1319.8203385926524</v>
      </c>
      <c r="D156" s="213" t="s">
        <v>182</v>
      </c>
      <c r="F156" s="323"/>
      <c r="G156" s="324"/>
      <c r="H156" s="323"/>
      <c r="I156" s="204"/>
      <c r="J156" s="325"/>
      <c r="K156" s="212"/>
      <c r="L156" s="397"/>
      <c r="M156" s="323"/>
      <c r="N156" s="212"/>
      <c r="O156" s="342"/>
      <c r="P156" s="323"/>
      <c r="Q156" s="204"/>
      <c r="R156" s="323"/>
      <c r="V156" s="204"/>
    </row>
    <row r="157" spans="1:22" s="8" customFormat="1" ht="16.5" customHeight="1">
      <c r="A157" s="10"/>
      <c r="B157" s="407"/>
      <c r="C157" s="408"/>
      <c r="D157" s="274"/>
      <c r="E157" s="287"/>
      <c r="F157" s="210"/>
      <c r="G157" s="409"/>
      <c r="H157" s="323"/>
      <c r="I157" s="204"/>
      <c r="J157" s="325"/>
      <c r="K157" s="212"/>
      <c r="L157" s="410"/>
      <c r="M157" s="210"/>
      <c r="N157" s="411"/>
      <c r="O157" s="327"/>
      <c r="P157" s="210"/>
      <c r="Q157" s="212"/>
      <c r="R157" s="323"/>
      <c r="V157" s="204"/>
    </row>
    <row r="158" spans="1:22" s="8" customFormat="1" ht="16.5" customHeight="1">
      <c r="A158" s="10">
        <v>3</v>
      </c>
      <c r="B158" s="412" t="s">
        <v>316</v>
      </c>
      <c r="C158" s="212">
        <v>55480</v>
      </c>
      <c r="D158" s="346"/>
      <c r="E158" s="226"/>
      <c r="F158" s="323"/>
      <c r="G158" s="339"/>
      <c r="H158" s="323"/>
      <c r="I158" s="204"/>
      <c r="J158" s="364"/>
      <c r="K158" s="204"/>
      <c r="L158" s="341"/>
      <c r="M158" s="323"/>
      <c r="N158" s="204"/>
      <c r="O158" s="342"/>
      <c r="P158" s="323"/>
      <c r="Q158" s="204"/>
      <c r="R158" s="323"/>
      <c r="V158" s="204"/>
    </row>
    <row r="159" spans="1:22" s="8" customFormat="1" ht="16.5" customHeight="1">
      <c r="A159" s="10"/>
      <c r="B159" s="207" t="s">
        <v>248</v>
      </c>
      <c r="C159" s="323">
        <f>(SUM(F161:F206))+E187-F187</f>
        <v>3952.900000000002</v>
      </c>
      <c r="D159" s="346" t="s">
        <v>177</v>
      </c>
      <c r="E159" s="367" t="s">
        <v>183</v>
      </c>
      <c r="F159" s="323"/>
      <c r="G159" s="339"/>
      <c r="H159" s="323"/>
      <c r="I159" s="204"/>
      <c r="J159" s="364"/>
      <c r="K159" s="204"/>
      <c r="L159" s="341"/>
      <c r="M159" s="323"/>
      <c r="N159" s="204"/>
      <c r="O159" s="342"/>
      <c r="P159" s="323"/>
      <c r="Q159" s="204"/>
      <c r="R159" s="323"/>
      <c r="V159" s="204"/>
    </row>
    <row r="160" spans="1:22" s="8" customFormat="1" ht="16.5" customHeight="1">
      <c r="A160" s="10"/>
      <c r="B160" s="207" t="s">
        <v>237</v>
      </c>
      <c r="C160" s="226">
        <v>3955</v>
      </c>
      <c r="D160" s="346" t="s">
        <v>177</v>
      </c>
      <c r="E160" s="377">
        <f>C160-C159</f>
        <v>2.09999999999809</v>
      </c>
      <c r="F160" s="323"/>
      <c r="G160" s="339"/>
      <c r="H160" s="323"/>
      <c r="I160" s="204"/>
      <c r="J160" s="364"/>
      <c r="K160" s="204"/>
      <c r="L160" s="341"/>
      <c r="M160" s="323"/>
      <c r="N160" s="204"/>
      <c r="O160" s="342"/>
      <c r="P160" s="323"/>
      <c r="Q160" s="204"/>
      <c r="R160" s="323"/>
      <c r="V160" s="204"/>
    </row>
    <row r="161" spans="1:22" s="8" customFormat="1" ht="16.5" customHeight="1">
      <c r="A161" s="10">
        <v>4</v>
      </c>
      <c r="B161" s="203" t="s">
        <v>317</v>
      </c>
      <c r="C161" s="413" t="s">
        <v>318</v>
      </c>
      <c r="D161" s="337">
        <v>1</v>
      </c>
      <c r="E161" s="226">
        <v>2037.6</v>
      </c>
      <c r="F161" s="323">
        <f aca="true" t="shared" si="40" ref="F161:F186">E161*D161</f>
        <v>2037.6</v>
      </c>
      <c r="G161" s="339">
        <v>50.014</v>
      </c>
      <c r="H161" s="323">
        <f aca="true" t="shared" si="41" ref="H161:H206">G161*2.54</f>
        <v>127.03556</v>
      </c>
      <c r="I161" s="204">
        <f aca="true" t="shared" si="42" ref="I161:I206">F161*H161</f>
        <v>258847.657056</v>
      </c>
      <c r="J161" s="331">
        <v>2885</v>
      </c>
      <c r="K161" s="204">
        <f aca="true" t="shared" si="43" ref="K161:K206">J161*D161</f>
        <v>2885</v>
      </c>
      <c r="L161" s="341">
        <v>49.752</v>
      </c>
      <c r="M161" s="323">
        <f aca="true" t="shared" si="44" ref="M161:M206">L161*2.54</f>
        <v>126.37008</v>
      </c>
      <c r="N161" s="204">
        <f aca="true" t="shared" si="45" ref="N161:N185">K161*M161</f>
        <v>364577.68080000003</v>
      </c>
      <c r="O161" s="342">
        <v>0</v>
      </c>
      <c r="P161" s="323">
        <f aca="true" t="shared" si="46" ref="P161:P206">O161*2.54</f>
        <v>0</v>
      </c>
      <c r="Q161" s="204">
        <f aca="true" t="shared" si="47" ref="Q161:Q206">F161*P161</f>
        <v>0</v>
      </c>
      <c r="R161" s="323">
        <f aca="true" t="shared" si="48" ref="R161:R206">K161*P161</f>
        <v>0</v>
      </c>
      <c r="V161" s="204"/>
    </row>
    <row r="162" spans="1:22" s="8" customFormat="1" ht="16.5" customHeight="1">
      <c r="A162" s="10">
        <v>4</v>
      </c>
      <c r="B162" s="203" t="s">
        <v>319</v>
      </c>
      <c r="C162" s="10">
        <v>55248</v>
      </c>
      <c r="D162" s="337">
        <v>1</v>
      </c>
      <c r="E162" s="226">
        <v>1</v>
      </c>
      <c r="F162" s="323">
        <f t="shared" si="40"/>
        <v>1</v>
      </c>
      <c r="G162" s="339">
        <v>48.41</v>
      </c>
      <c r="H162" s="323">
        <f t="shared" si="41"/>
        <v>122.9614</v>
      </c>
      <c r="I162" s="204">
        <f t="shared" si="42"/>
        <v>122.9614</v>
      </c>
      <c r="J162" s="340">
        <v>0</v>
      </c>
      <c r="K162" s="204">
        <f t="shared" si="43"/>
        <v>0</v>
      </c>
      <c r="L162" s="341">
        <f aca="true" t="shared" si="49" ref="L162:L186">G162</f>
        <v>48.41</v>
      </c>
      <c r="M162" s="323">
        <f t="shared" si="44"/>
        <v>122.9614</v>
      </c>
      <c r="N162" s="204">
        <f t="shared" si="45"/>
        <v>0</v>
      </c>
      <c r="O162" s="342">
        <v>0</v>
      </c>
      <c r="P162" s="323">
        <f t="shared" si="46"/>
        <v>0</v>
      </c>
      <c r="Q162" s="204">
        <f t="shared" si="47"/>
        <v>0</v>
      </c>
      <c r="R162" s="323">
        <f t="shared" si="48"/>
        <v>0</v>
      </c>
      <c r="V162" s="204"/>
    </row>
    <row r="163" spans="1:22" s="8" customFormat="1" ht="16.5" customHeight="1">
      <c r="A163" s="10">
        <v>4</v>
      </c>
      <c r="B163" s="203" t="s">
        <v>320</v>
      </c>
      <c r="C163" s="413" t="s">
        <v>321</v>
      </c>
      <c r="D163" s="337">
        <v>1</v>
      </c>
      <c r="E163" s="226">
        <v>8.3</v>
      </c>
      <c r="F163" s="323">
        <f t="shared" si="40"/>
        <v>8.3</v>
      </c>
      <c r="G163" s="339">
        <v>49.3</v>
      </c>
      <c r="H163" s="323">
        <f t="shared" si="41"/>
        <v>125.222</v>
      </c>
      <c r="I163" s="204">
        <f t="shared" si="42"/>
        <v>1039.3426</v>
      </c>
      <c r="J163" s="340">
        <v>0</v>
      </c>
      <c r="K163" s="204">
        <f t="shared" si="43"/>
        <v>0</v>
      </c>
      <c r="L163" s="341">
        <f t="shared" si="49"/>
        <v>49.3</v>
      </c>
      <c r="M163" s="323">
        <f t="shared" si="44"/>
        <v>125.222</v>
      </c>
      <c r="N163" s="204">
        <f t="shared" si="45"/>
        <v>0</v>
      </c>
      <c r="O163" s="342">
        <v>0</v>
      </c>
      <c r="P163" s="323">
        <f t="shared" si="46"/>
        <v>0</v>
      </c>
      <c r="Q163" s="204">
        <f t="shared" si="47"/>
        <v>0</v>
      </c>
      <c r="R163" s="323">
        <f t="shared" si="48"/>
        <v>0</v>
      </c>
      <c r="V163" s="204"/>
    </row>
    <row r="164" spans="1:22" s="8" customFormat="1" ht="16.5" customHeight="1">
      <c r="A164" s="10">
        <v>4</v>
      </c>
      <c r="B164" s="414" t="s">
        <v>322</v>
      </c>
      <c r="C164" s="413" t="s">
        <v>323</v>
      </c>
      <c r="D164" s="337">
        <v>1</v>
      </c>
      <c r="E164" s="226">
        <v>27.5</v>
      </c>
      <c r="F164" s="323">
        <f t="shared" si="40"/>
        <v>27.5</v>
      </c>
      <c r="G164" s="339">
        <v>49.3</v>
      </c>
      <c r="H164" s="323">
        <f t="shared" si="41"/>
        <v>125.222</v>
      </c>
      <c r="I164" s="204">
        <f t="shared" si="42"/>
        <v>3443.605</v>
      </c>
      <c r="J164" s="340">
        <v>0</v>
      </c>
      <c r="K164" s="204">
        <f t="shared" si="43"/>
        <v>0</v>
      </c>
      <c r="L164" s="341">
        <f t="shared" si="49"/>
        <v>49.3</v>
      </c>
      <c r="M164" s="323">
        <f t="shared" si="44"/>
        <v>125.222</v>
      </c>
      <c r="N164" s="204">
        <f t="shared" si="45"/>
        <v>0</v>
      </c>
      <c r="O164" s="342">
        <v>0.5</v>
      </c>
      <c r="P164" s="323">
        <f t="shared" si="46"/>
        <v>1.27</v>
      </c>
      <c r="Q164" s="204">
        <f t="shared" si="47"/>
        <v>34.925</v>
      </c>
      <c r="R164" s="323">
        <f t="shared" si="48"/>
        <v>0</v>
      </c>
      <c r="V164" s="204"/>
    </row>
    <row r="165" spans="1:22" s="8" customFormat="1" ht="16.5" customHeight="1">
      <c r="A165" s="10">
        <v>4</v>
      </c>
      <c r="B165" s="414" t="s">
        <v>324</v>
      </c>
      <c r="C165" s="413" t="s">
        <v>325</v>
      </c>
      <c r="D165" s="337">
        <v>1</v>
      </c>
      <c r="E165" s="226">
        <v>608.5</v>
      </c>
      <c r="F165" s="323">
        <f t="shared" si="40"/>
        <v>608.5</v>
      </c>
      <c r="G165" s="339">
        <v>49.02</v>
      </c>
      <c r="H165" s="323">
        <f t="shared" si="41"/>
        <v>124.5108</v>
      </c>
      <c r="I165" s="204">
        <f t="shared" si="42"/>
        <v>75764.8218</v>
      </c>
      <c r="J165" s="340">
        <v>0</v>
      </c>
      <c r="K165" s="204">
        <f t="shared" si="43"/>
        <v>0</v>
      </c>
      <c r="L165" s="341">
        <f t="shared" si="49"/>
        <v>49.02</v>
      </c>
      <c r="M165" s="323">
        <f t="shared" si="44"/>
        <v>124.5108</v>
      </c>
      <c r="N165" s="204">
        <f t="shared" si="45"/>
        <v>0</v>
      </c>
      <c r="O165" s="342">
        <v>0.6</v>
      </c>
      <c r="P165" s="323">
        <f t="shared" si="46"/>
        <v>1.524</v>
      </c>
      <c r="Q165" s="204">
        <f t="shared" si="47"/>
        <v>927.354</v>
      </c>
      <c r="R165" s="323">
        <f t="shared" si="48"/>
        <v>0</v>
      </c>
      <c r="V165" s="204"/>
    </row>
    <row r="166" spans="1:22" s="8" customFormat="1" ht="16.5" customHeight="1">
      <c r="A166" s="10">
        <v>4</v>
      </c>
      <c r="B166" s="414" t="s">
        <v>326</v>
      </c>
      <c r="C166" s="413" t="s">
        <v>327</v>
      </c>
      <c r="D166" s="337">
        <v>1</v>
      </c>
      <c r="E166" s="226">
        <v>10.6</v>
      </c>
      <c r="F166" s="323">
        <f t="shared" si="40"/>
        <v>10.6</v>
      </c>
      <c r="G166" s="339">
        <v>50.43</v>
      </c>
      <c r="H166" s="323">
        <f t="shared" si="41"/>
        <v>128.0922</v>
      </c>
      <c r="I166" s="204">
        <f t="shared" si="42"/>
        <v>1357.77732</v>
      </c>
      <c r="J166" s="340">
        <v>0</v>
      </c>
      <c r="K166" s="204">
        <f t="shared" si="43"/>
        <v>0</v>
      </c>
      <c r="L166" s="341">
        <f t="shared" si="49"/>
        <v>50.43</v>
      </c>
      <c r="M166" s="323">
        <f t="shared" si="44"/>
        <v>128.0922</v>
      </c>
      <c r="N166" s="204">
        <f t="shared" si="45"/>
        <v>0</v>
      </c>
      <c r="O166" s="342">
        <v>0.5</v>
      </c>
      <c r="P166" s="323">
        <f t="shared" si="46"/>
        <v>1.27</v>
      </c>
      <c r="Q166" s="204">
        <f t="shared" si="47"/>
        <v>13.462</v>
      </c>
      <c r="R166" s="323">
        <f t="shared" si="48"/>
        <v>0</v>
      </c>
      <c r="V166" s="204"/>
    </row>
    <row r="167" spans="1:22" s="8" customFormat="1" ht="16.5" customHeight="1">
      <c r="A167" s="10">
        <v>4</v>
      </c>
      <c r="B167" s="203" t="s">
        <v>328</v>
      </c>
      <c r="C167" s="413" t="s">
        <v>329</v>
      </c>
      <c r="D167" s="337">
        <v>1</v>
      </c>
      <c r="E167" s="226">
        <v>19</v>
      </c>
      <c r="F167" s="323">
        <f t="shared" si="40"/>
        <v>19</v>
      </c>
      <c r="G167" s="339">
        <v>48.79</v>
      </c>
      <c r="H167" s="323">
        <f t="shared" si="41"/>
        <v>123.9266</v>
      </c>
      <c r="I167" s="204">
        <f t="shared" si="42"/>
        <v>2354.6054</v>
      </c>
      <c r="J167" s="340">
        <v>0</v>
      </c>
      <c r="K167" s="204">
        <f t="shared" si="43"/>
        <v>0</v>
      </c>
      <c r="L167" s="341">
        <f t="shared" si="49"/>
        <v>48.79</v>
      </c>
      <c r="M167" s="323">
        <f t="shared" si="44"/>
        <v>123.9266</v>
      </c>
      <c r="N167" s="204">
        <f t="shared" si="45"/>
        <v>0</v>
      </c>
      <c r="O167" s="342">
        <v>-0.5</v>
      </c>
      <c r="P167" s="323">
        <f t="shared" si="46"/>
        <v>-1.27</v>
      </c>
      <c r="Q167" s="204">
        <f t="shared" si="47"/>
        <v>-24.13</v>
      </c>
      <c r="R167" s="323">
        <f t="shared" si="48"/>
        <v>0</v>
      </c>
      <c r="V167" s="204"/>
    </row>
    <row r="168" spans="1:22" s="8" customFormat="1" ht="16.5" customHeight="1">
      <c r="A168" s="10">
        <v>4</v>
      </c>
      <c r="B168" s="203" t="s">
        <v>330</v>
      </c>
      <c r="C168" s="413" t="s">
        <v>331</v>
      </c>
      <c r="D168" s="337">
        <v>1</v>
      </c>
      <c r="E168" s="226">
        <v>3.3</v>
      </c>
      <c r="F168" s="323">
        <f t="shared" si="40"/>
        <v>3.3</v>
      </c>
      <c r="G168" s="339">
        <v>47</v>
      </c>
      <c r="H168" s="323">
        <f t="shared" si="41"/>
        <v>119.38</v>
      </c>
      <c r="I168" s="204">
        <f t="shared" si="42"/>
        <v>393.95399999999995</v>
      </c>
      <c r="J168" s="340">
        <v>0</v>
      </c>
      <c r="K168" s="204">
        <f t="shared" si="43"/>
        <v>0</v>
      </c>
      <c r="L168" s="341">
        <f t="shared" si="49"/>
        <v>47</v>
      </c>
      <c r="M168" s="323">
        <f t="shared" si="44"/>
        <v>119.38</v>
      </c>
      <c r="N168" s="204">
        <f t="shared" si="45"/>
        <v>0</v>
      </c>
      <c r="O168" s="342">
        <v>0</v>
      </c>
      <c r="P168" s="323">
        <f t="shared" si="46"/>
        <v>0</v>
      </c>
      <c r="Q168" s="204">
        <f t="shared" si="47"/>
        <v>0</v>
      </c>
      <c r="R168" s="323">
        <f t="shared" si="48"/>
        <v>0</v>
      </c>
      <c r="V168" s="204"/>
    </row>
    <row r="169" spans="1:22" s="8" customFormat="1" ht="16.5" customHeight="1">
      <c r="A169" s="10">
        <v>4</v>
      </c>
      <c r="B169" s="203" t="s">
        <v>332</v>
      </c>
      <c r="C169" s="413" t="s">
        <v>331</v>
      </c>
      <c r="D169" s="337">
        <v>1</v>
      </c>
      <c r="E169" s="226">
        <v>2.5</v>
      </c>
      <c r="F169" s="323">
        <f t="shared" si="40"/>
        <v>2.5</v>
      </c>
      <c r="G169" s="339">
        <v>47</v>
      </c>
      <c r="H169" s="323">
        <f t="shared" si="41"/>
        <v>119.38</v>
      </c>
      <c r="I169" s="204">
        <f t="shared" si="42"/>
        <v>298.45</v>
      </c>
      <c r="J169" s="340">
        <v>0</v>
      </c>
      <c r="K169" s="204">
        <f t="shared" si="43"/>
        <v>0</v>
      </c>
      <c r="L169" s="341">
        <f t="shared" si="49"/>
        <v>47</v>
      </c>
      <c r="M169" s="323">
        <f t="shared" si="44"/>
        <v>119.38</v>
      </c>
      <c r="N169" s="204">
        <f t="shared" si="45"/>
        <v>0</v>
      </c>
      <c r="O169" s="342">
        <v>0</v>
      </c>
      <c r="P169" s="323">
        <f t="shared" si="46"/>
        <v>0</v>
      </c>
      <c r="Q169" s="204">
        <f t="shared" si="47"/>
        <v>0</v>
      </c>
      <c r="R169" s="323">
        <f t="shared" si="48"/>
        <v>0</v>
      </c>
      <c r="V169" s="204"/>
    </row>
    <row r="170" spans="1:22" s="8" customFormat="1" ht="16.5" customHeight="1">
      <c r="A170" s="10">
        <v>4</v>
      </c>
      <c r="B170" s="203" t="s">
        <v>333</v>
      </c>
      <c r="C170" s="413" t="s">
        <v>334</v>
      </c>
      <c r="D170" s="337">
        <v>1</v>
      </c>
      <c r="E170" s="226">
        <v>22.7</v>
      </c>
      <c r="F170" s="323">
        <f t="shared" si="40"/>
        <v>22.7</v>
      </c>
      <c r="G170" s="339">
        <v>49.1</v>
      </c>
      <c r="H170" s="323">
        <f t="shared" si="41"/>
        <v>124.714</v>
      </c>
      <c r="I170" s="204">
        <f t="shared" si="42"/>
        <v>2831.0078</v>
      </c>
      <c r="J170" s="340">
        <v>0</v>
      </c>
      <c r="K170" s="204">
        <f t="shared" si="43"/>
        <v>0</v>
      </c>
      <c r="L170" s="341">
        <f t="shared" si="49"/>
        <v>49.1</v>
      </c>
      <c r="M170" s="323">
        <f t="shared" si="44"/>
        <v>124.714</v>
      </c>
      <c r="N170" s="204">
        <f t="shared" si="45"/>
        <v>0</v>
      </c>
      <c r="O170" s="342">
        <v>-0.5</v>
      </c>
      <c r="P170" s="323">
        <f t="shared" si="46"/>
        <v>-1.27</v>
      </c>
      <c r="Q170" s="204">
        <f t="shared" si="47"/>
        <v>-28.829</v>
      </c>
      <c r="R170" s="323">
        <f t="shared" si="48"/>
        <v>0</v>
      </c>
      <c r="V170" s="204"/>
    </row>
    <row r="171" spans="1:22" s="8" customFormat="1" ht="16.5" customHeight="1">
      <c r="A171" s="10">
        <v>4</v>
      </c>
      <c r="B171" s="203" t="s">
        <v>335</v>
      </c>
      <c r="C171" s="413" t="s">
        <v>336</v>
      </c>
      <c r="D171" s="337">
        <v>1</v>
      </c>
      <c r="E171" s="226">
        <v>16.1</v>
      </c>
      <c r="F171" s="323">
        <f t="shared" si="40"/>
        <v>16.1</v>
      </c>
      <c r="G171" s="339">
        <v>50.43</v>
      </c>
      <c r="H171" s="323">
        <f t="shared" si="41"/>
        <v>128.0922</v>
      </c>
      <c r="I171" s="204">
        <f t="shared" si="42"/>
        <v>2062.28442</v>
      </c>
      <c r="J171" s="340">
        <v>0</v>
      </c>
      <c r="K171" s="204">
        <f t="shared" si="43"/>
        <v>0</v>
      </c>
      <c r="L171" s="341">
        <f t="shared" si="49"/>
        <v>50.43</v>
      </c>
      <c r="M171" s="323">
        <f t="shared" si="44"/>
        <v>128.0922</v>
      </c>
      <c r="N171" s="204">
        <f t="shared" si="45"/>
        <v>0</v>
      </c>
      <c r="O171" s="342">
        <v>-0.5</v>
      </c>
      <c r="P171" s="323">
        <f t="shared" si="46"/>
        <v>-1.27</v>
      </c>
      <c r="Q171" s="204">
        <f t="shared" si="47"/>
        <v>-20.447000000000003</v>
      </c>
      <c r="R171" s="323">
        <f t="shared" si="48"/>
        <v>0</v>
      </c>
      <c r="V171" s="204"/>
    </row>
    <row r="172" spans="1:22" s="8" customFormat="1" ht="16.5" customHeight="1">
      <c r="A172" s="10">
        <v>4</v>
      </c>
      <c r="B172" s="203" t="s">
        <v>337</v>
      </c>
      <c r="C172" s="413" t="s">
        <v>331</v>
      </c>
      <c r="D172" s="337">
        <v>1</v>
      </c>
      <c r="E172" s="226">
        <v>4</v>
      </c>
      <c r="F172" s="323">
        <f t="shared" si="40"/>
        <v>4</v>
      </c>
      <c r="G172" s="339">
        <v>47</v>
      </c>
      <c r="H172" s="323">
        <f t="shared" si="41"/>
        <v>119.38</v>
      </c>
      <c r="I172" s="204">
        <f t="shared" si="42"/>
        <v>477.52</v>
      </c>
      <c r="J172" s="340">
        <v>0</v>
      </c>
      <c r="K172" s="204">
        <f t="shared" si="43"/>
        <v>0</v>
      </c>
      <c r="L172" s="341">
        <f t="shared" si="49"/>
        <v>47</v>
      </c>
      <c r="M172" s="323">
        <f t="shared" si="44"/>
        <v>119.38</v>
      </c>
      <c r="N172" s="204">
        <f t="shared" si="45"/>
        <v>0</v>
      </c>
      <c r="O172" s="342">
        <v>0</v>
      </c>
      <c r="P172" s="323">
        <f t="shared" si="46"/>
        <v>0</v>
      </c>
      <c r="Q172" s="204">
        <f t="shared" si="47"/>
        <v>0</v>
      </c>
      <c r="R172" s="323">
        <f t="shared" si="48"/>
        <v>0</v>
      </c>
      <c r="V172" s="204"/>
    </row>
    <row r="173" spans="1:22" s="8" customFormat="1" ht="16.5" customHeight="1">
      <c r="A173" s="10">
        <v>4</v>
      </c>
      <c r="B173" s="414" t="s">
        <v>338</v>
      </c>
      <c r="C173" s="413" t="s">
        <v>339</v>
      </c>
      <c r="D173" s="337">
        <v>1</v>
      </c>
      <c r="E173" s="226">
        <v>18.8</v>
      </c>
      <c r="F173" s="323">
        <f t="shared" si="40"/>
        <v>18.8</v>
      </c>
      <c r="G173" s="339">
        <v>49.3</v>
      </c>
      <c r="H173" s="323">
        <f t="shared" si="41"/>
        <v>125.222</v>
      </c>
      <c r="I173" s="204">
        <f t="shared" si="42"/>
        <v>2354.1736</v>
      </c>
      <c r="J173" s="340">
        <v>0</v>
      </c>
      <c r="K173" s="204">
        <f t="shared" si="43"/>
        <v>0</v>
      </c>
      <c r="L173" s="341">
        <f t="shared" si="49"/>
        <v>49.3</v>
      </c>
      <c r="M173" s="323">
        <f t="shared" si="44"/>
        <v>125.222</v>
      </c>
      <c r="N173" s="204">
        <f t="shared" si="45"/>
        <v>0</v>
      </c>
      <c r="O173" s="342">
        <v>0</v>
      </c>
      <c r="P173" s="323">
        <f t="shared" si="46"/>
        <v>0</v>
      </c>
      <c r="Q173" s="204">
        <f t="shared" si="47"/>
        <v>0</v>
      </c>
      <c r="R173" s="323">
        <f t="shared" si="48"/>
        <v>0</v>
      </c>
      <c r="V173" s="204"/>
    </row>
    <row r="174" spans="1:22" s="8" customFormat="1" ht="16.5" customHeight="1">
      <c r="A174" s="10">
        <v>4</v>
      </c>
      <c r="B174" s="203" t="s">
        <v>340</v>
      </c>
      <c r="C174" s="413" t="s">
        <v>331</v>
      </c>
      <c r="D174" s="337">
        <v>1</v>
      </c>
      <c r="E174" s="226">
        <v>1.8</v>
      </c>
      <c r="F174" s="323">
        <f t="shared" si="40"/>
        <v>1.8</v>
      </c>
      <c r="G174" s="339">
        <v>47</v>
      </c>
      <c r="H174" s="323">
        <f t="shared" si="41"/>
        <v>119.38</v>
      </c>
      <c r="I174" s="204">
        <f t="shared" si="42"/>
        <v>214.884</v>
      </c>
      <c r="J174" s="340">
        <v>0</v>
      </c>
      <c r="K174" s="204">
        <f t="shared" si="43"/>
        <v>0</v>
      </c>
      <c r="L174" s="341">
        <f t="shared" si="49"/>
        <v>47</v>
      </c>
      <c r="M174" s="323">
        <f t="shared" si="44"/>
        <v>119.38</v>
      </c>
      <c r="N174" s="204">
        <f t="shared" si="45"/>
        <v>0</v>
      </c>
      <c r="O174" s="342">
        <v>0</v>
      </c>
      <c r="P174" s="323">
        <f t="shared" si="46"/>
        <v>0</v>
      </c>
      <c r="Q174" s="204">
        <f t="shared" si="47"/>
        <v>0</v>
      </c>
      <c r="R174" s="323">
        <f t="shared" si="48"/>
        <v>0</v>
      </c>
      <c r="V174" s="204"/>
    </row>
    <row r="175" spans="1:22" s="8" customFormat="1" ht="16.5" customHeight="1">
      <c r="A175" s="10">
        <v>4</v>
      </c>
      <c r="B175" s="203" t="s">
        <v>341</v>
      </c>
      <c r="C175" s="10">
        <v>52350</v>
      </c>
      <c r="D175" s="337">
        <v>1</v>
      </c>
      <c r="E175" s="226">
        <v>0.9</v>
      </c>
      <c r="F175" s="323">
        <f t="shared" si="40"/>
        <v>0.9</v>
      </c>
      <c r="G175" s="339">
        <v>50.9</v>
      </c>
      <c r="H175" s="323">
        <f t="shared" si="41"/>
        <v>129.286</v>
      </c>
      <c r="I175" s="204">
        <f t="shared" si="42"/>
        <v>116.3574</v>
      </c>
      <c r="J175" s="340">
        <v>0</v>
      </c>
      <c r="K175" s="204">
        <f t="shared" si="43"/>
        <v>0</v>
      </c>
      <c r="L175" s="341">
        <f t="shared" si="49"/>
        <v>50.9</v>
      </c>
      <c r="M175" s="323">
        <f t="shared" si="44"/>
        <v>129.286</v>
      </c>
      <c r="N175" s="204">
        <f t="shared" si="45"/>
        <v>0</v>
      </c>
      <c r="O175" s="342">
        <v>0</v>
      </c>
      <c r="P175" s="323">
        <f t="shared" si="46"/>
        <v>0</v>
      </c>
      <c r="Q175" s="204">
        <f t="shared" si="47"/>
        <v>0</v>
      </c>
      <c r="R175" s="323">
        <f t="shared" si="48"/>
        <v>0</v>
      </c>
      <c r="V175" s="204"/>
    </row>
    <row r="176" spans="1:22" s="8" customFormat="1" ht="16.5" customHeight="1">
      <c r="A176" s="10">
        <v>4</v>
      </c>
      <c r="B176" s="203" t="s">
        <v>342</v>
      </c>
      <c r="C176" s="10">
        <v>52349</v>
      </c>
      <c r="D176" s="337">
        <v>1</v>
      </c>
      <c r="E176" s="226">
        <v>7.6</v>
      </c>
      <c r="F176" s="323">
        <f t="shared" si="40"/>
        <v>7.6</v>
      </c>
      <c r="G176" s="339">
        <v>51.04</v>
      </c>
      <c r="H176" s="323">
        <f t="shared" si="41"/>
        <v>129.6416</v>
      </c>
      <c r="I176" s="204">
        <f t="shared" si="42"/>
        <v>985.27616</v>
      </c>
      <c r="J176" s="340">
        <v>0</v>
      </c>
      <c r="K176" s="204">
        <f t="shared" si="43"/>
        <v>0</v>
      </c>
      <c r="L176" s="341">
        <f t="shared" si="49"/>
        <v>51.04</v>
      </c>
      <c r="M176" s="323">
        <f t="shared" si="44"/>
        <v>129.6416</v>
      </c>
      <c r="N176" s="204">
        <f t="shared" si="45"/>
        <v>0</v>
      </c>
      <c r="O176" s="342">
        <v>0</v>
      </c>
      <c r="P176" s="323">
        <f t="shared" si="46"/>
        <v>0</v>
      </c>
      <c r="Q176" s="204">
        <f t="shared" si="47"/>
        <v>0</v>
      </c>
      <c r="R176" s="323">
        <f t="shared" si="48"/>
        <v>0</v>
      </c>
      <c r="V176" s="204"/>
    </row>
    <row r="177" spans="1:22" s="8" customFormat="1" ht="16.5" customHeight="1">
      <c r="A177" s="10">
        <v>4</v>
      </c>
      <c r="B177" s="203" t="s">
        <v>343</v>
      </c>
      <c r="C177" s="413" t="s">
        <v>344</v>
      </c>
      <c r="D177" s="337">
        <v>1</v>
      </c>
      <c r="E177" s="226">
        <v>316.8</v>
      </c>
      <c r="F177" s="323">
        <f t="shared" si="40"/>
        <v>316.8</v>
      </c>
      <c r="G177" s="339">
        <v>49.58</v>
      </c>
      <c r="H177" s="323">
        <f t="shared" si="41"/>
        <v>125.9332</v>
      </c>
      <c r="I177" s="204">
        <f t="shared" si="42"/>
        <v>39895.63776</v>
      </c>
      <c r="J177" s="340">
        <v>0</v>
      </c>
      <c r="K177" s="204">
        <f t="shared" si="43"/>
        <v>0</v>
      </c>
      <c r="L177" s="341">
        <f t="shared" si="49"/>
        <v>49.58</v>
      </c>
      <c r="M177" s="323">
        <f t="shared" si="44"/>
        <v>125.9332</v>
      </c>
      <c r="N177" s="204">
        <f t="shared" si="45"/>
        <v>0</v>
      </c>
      <c r="O177" s="342">
        <v>0</v>
      </c>
      <c r="P177" s="323">
        <f t="shared" si="46"/>
        <v>0</v>
      </c>
      <c r="Q177" s="204">
        <f t="shared" si="47"/>
        <v>0</v>
      </c>
      <c r="R177" s="323">
        <f t="shared" si="48"/>
        <v>0</v>
      </c>
      <c r="V177" s="204"/>
    </row>
    <row r="178" spans="1:22" s="8" customFormat="1" ht="16.5" customHeight="1">
      <c r="A178" s="10">
        <v>4</v>
      </c>
      <c r="B178" s="414" t="s">
        <v>345</v>
      </c>
      <c r="C178" s="10">
        <v>49803</v>
      </c>
      <c r="D178" s="337">
        <v>1</v>
      </c>
      <c r="E178" s="226">
        <v>111.8</v>
      </c>
      <c r="F178" s="323">
        <f t="shared" si="40"/>
        <v>111.8</v>
      </c>
      <c r="G178" s="339">
        <v>47.72</v>
      </c>
      <c r="H178" s="323">
        <f t="shared" si="41"/>
        <v>121.2088</v>
      </c>
      <c r="I178" s="204">
        <f t="shared" si="42"/>
        <v>13551.143839999999</v>
      </c>
      <c r="J178" s="340">
        <v>0</v>
      </c>
      <c r="K178" s="204">
        <f t="shared" si="43"/>
        <v>0</v>
      </c>
      <c r="L178" s="341">
        <f t="shared" si="49"/>
        <v>47.72</v>
      </c>
      <c r="M178" s="323">
        <f t="shared" si="44"/>
        <v>121.2088</v>
      </c>
      <c r="N178" s="204">
        <f t="shared" si="45"/>
        <v>0</v>
      </c>
      <c r="O178" s="342">
        <v>0</v>
      </c>
      <c r="P178" s="323">
        <f t="shared" si="46"/>
        <v>0</v>
      </c>
      <c r="Q178" s="204">
        <f t="shared" si="47"/>
        <v>0</v>
      </c>
      <c r="R178" s="323">
        <f t="shared" si="48"/>
        <v>0</v>
      </c>
      <c r="V178" s="204"/>
    </row>
    <row r="179" spans="1:22" s="8" customFormat="1" ht="16.5" customHeight="1">
      <c r="A179" s="10">
        <v>4</v>
      </c>
      <c r="B179" s="203" t="s">
        <v>346</v>
      </c>
      <c r="C179" s="413" t="s">
        <v>347</v>
      </c>
      <c r="D179" s="337">
        <v>1</v>
      </c>
      <c r="E179" s="226">
        <v>3.2</v>
      </c>
      <c r="F179" s="323">
        <f t="shared" si="40"/>
        <v>3.2</v>
      </c>
      <c r="G179" s="339">
        <v>47.69</v>
      </c>
      <c r="H179" s="323">
        <f t="shared" si="41"/>
        <v>121.1326</v>
      </c>
      <c r="I179" s="204">
        <f t="shared" si="42"/>
        <v>387.62432</v>
      </c>
      <c r="J179" s="340">
        <v>0</v>
      </c>
      <c r="K179" s="204">
        <f t="shared" si="43"/>
        <v>0</v>
      </c>
      <c r="L179" s="341">
        <f t="shared" si="49"/>
        <v>47.69</v>
      </c>
      <c r="M179" s="323">
        <f t="shared" si="44"/>
        <v>121.1326</v>
      </c>
      <c r="N179" s="204">
        <f t="shared" si="45"/>
        <v>0</v>
      </c>
      <c r="O179" s="342">
        <v>0</v>
      </c>
      <c r="P179" s="323">
        <f t="shared" si="46"/>
        <v>0</v>
      </c>
      <c r="Q179" s="204">
        <f t="shared" si="47"/>
        <v>0</v>
      </c>
      <c r="R179" s="323">
        <f t="shared" si="48"/>
        <v>0</v>
      </c>
      <c r="V179" s="204"/>
    </row>
    <row r="180" spans="1:22" s="8" customFormat="1" ht="16.5" customHeight="1">
      <c r="A180" s="10">
        <v>4</v>
      </c>
      <c r="B180" s="414" t="s">
        <v>348</v>
      </c>
      <c r="C180" s="413" t="s">
        <v>349</v>
      </c>
      <c r="D180" s="337">
        <v>1</v>
      </c>
      <c r="E180" s="226">
        <v>0.5</v>
      </c>
      <c r="F180" s="323">
        <f t="shared" si="40"/>
        <v>0.5</v>
      </c>
      <c r="G180" s="339">
        <v>48.23</v>
      </c>
      <c r="H180" s="323">
        <f t="shared" si="41"/>
        <v>122.5042</v>
      </c>
      <c r="I180" s="204">
        <f t="shared" si="42"/>
        <v>61.2521</v>
      </c>
      <c r="J180" s="340">
        <v>0</v>
      </c>
      <c r="K180" s="204">
        <f t="shared" si="43"/>
        <v>0</v>
      </c>
      <c r="L180" s="341">
        <f t="shared" si="49"/>
        <v>48.23</v>
      </c>
      <c r="M180" s="323">
        <f t="shared" si="44"/>
        <v>122.5042</v>
      </c>
      <c r="N180" s="204">
        <f t="shared" si="45"/>
        <v>0</v>
      </c>
      <c r="O180" s="342">
        <v>0</v>
      </c>
      <c r="P180" s="323">
        <f t="shared" si="46"/>
        <v>0</v>
      </c>
      <c r="Q180" s="204">
        <f t="shared" si="47"/>
        <v>0</v>
      </c>
      <c r="R180" s="323">
        <f t="shared" si="48"/>
        <v>0</v>
      </c>
      <c r="V180" s="204"/>
    </row>
    <row r="181" spans="1:22" s="8" customFormat="1" ht="16.5" customHeight="1">
      <c r="A181" s="10">
        <v>4</v>
      </c>
      <c r="B181" s="203" t="s">
        <v>350</v>
      </c>
      <c r="C181" s="413" t="s">
        <v>351</v>
      </c>
      <c r="D181" s="337">
        <v>1</v>
      </c>
      <c r="E181" s="226">
        <v>16.1</v>
      </c>
      <c r="F181" s="323">
        <f t="shared" si="40"/>
        <v>16.1</v>
      </c>
      <c r="G181" s="339">
        <v>47.75</v>
      </c>
      <c r="H181" s="323">
        <f t="shared" si="41"/>
        <v>121.285</v>
      </c>
      <c r="I181" s="204">
        <f t="shared" si="42"/>
        <v>1952.6885000000002</v>
      </c>
      <c r="J181" s="340">
        <v>0</v>
      </c>
      <c r="K181" s="204">
        <f t="shared" si="43"/>
        <v>0</v>
      </c>
      <c r="L181" s="341">
        <f t="shared" si="49"/>
        <v>47.75</v>
      </c>
      <c r="M181" s="323">
        <f t="shared" si="44"/>
        <v>121.285</v>
      </c>
      <c r="N181" s="204">
        <f t="shared" si="45"/>
        <v>0</v>
      </c>
      <c r="O181" s="342">
        <v>1.15</v>
      </c>
      <c r="P181" s="323">
        <f t="shared" si="46"/>
        <v>2.921</v>
      </c>
      <c r="Q181" s="204">
        <f t="shared" si="47"/>
        <v>47.0281</v>
      </c>
      <c r="R181" s="323">
        <f t="shared" si="48"/>
        <v>0</v>
      </c>
      <c r="V181" s="204"/>
    </row>
    <row r="182" spans="1:22" s="8" customFormat="1" ht="16.5" customHeight="1">
      <c r="A182" s="10">
        <v>4</v>
      </c>
      <c r="B182" s="203" t="s">
        <v>352</v>
      </c>
      <c r="C182" s="413" t="s">
        <v>353</v>
      </c>
      <c r="D182" s="337">
        <v>1</v>
      </c>
      <c r="E182" s="226">
        <v>1</v>
      </c>
      <c r="F182" s="323">
        <f t="shared" si="40"/>
        <v>1</v>
      </c>
      <c r="G182" s="339">
        <v>45.17</v>
      </c>
      <c r="H182" s="323">
        <f t="shared" si="41"/>
        <v>114.7318</v>
      </c>
      <c r="I182" s="204">
        <f t="shared" si="42"/>
        <v>114.7318</v>
      </c>
      <c r="J182" s="340">
        <v>0</v>
      </c>
      <c r="K182" s="204">
        <f t="shared" si="43"/>
        <v>0</v>
      </c>
      <c r="L182" s="341">
        <f t="shared" si="49"/>
        <v>45.17</v>
      </c>
      <c r="M182" s="323">
        <f t="shared" si="44"/>
        <v>114.7318</v>
      </c>
      <c r="N182" s="204">
        <f t="shared" si="45"/>
        <v>0</v>
      </c>
      <c r="O182" s="342">
        <v>0</v>
      </c>
      <c r="P182" s="323">
        <f t="shared" si="46"/>
        <v>0</v>
      </c>
      <c r="Q182" s="204">
        <f t="shared" si="47"/>
        <v>0</v>
      </c>
      <c r="R182" s="323">
        <f t="shared" si="48"/>
        <v>0</v>
      </c>
      <c r="V182" s="204"/>
    </row>
    <row r="183" spans="1:22" s="8" customFormat="1" ht="16.5" customHeight="1">
      <c r="A183" s="10">
        <v>4</v>
      </c>
      <c r="B183" s="203" t="s">
        <v>354</v>
      </c>
      <c r="C183" s="413" t="s">
        <v>355</v>
      </c>
      <c r="D183" s="337">
        <v>1</v>
      </c>
      <c r="E183" s="226">
        <v>13.7</v>
      </c>
      <c r="F183" s="323">
        <f t="shared" si="40"/>
        <v>13.7</v>
      </c>
      <c r="G183" s="339">
        <v>47.69</v>
      </c>
      <c r="H183" s="323">
        <f t="shared" si="41"/>
        <v>121.1326</v>
      </c>
      <c r="I183" s="204">
        <f t="shared" si="42"/>
        <v>1659.5166199999999</v>
      </c>
      <c r="J183" s="340">
        <v>0</v>
      </c>
      <c r="K183" s="204">
        <f t="shared" si="43"/>
        <v>0</v>
      </c>
      <c r="L183" s="341">
        <f t="shared" si="49"/>
        <v>47.69</v>
      </c>
      <c r="M183" s="323">
        <f t="shared" si="44"/>
        <v>121.1326</v>
      </c>
      <c r="N183" s="204">
        <f t="shared" si="45"/>
        <v>0</v>
      </c>
      <c r="O183" s="342">
        <v>0</v>
      </c>
      <c r="P183" s="323">
        <f t="shared" si="46"/>
        <v>0</v>
      </c>
      <c r="Q183" s="204">
        <f t="shared" si="47"/>
        <v>0</v>
      </c>
      <c r="R183" s="323">
        <f t="shared" si="48"/>
        <v>0</v>
      </c>
      <c r="V183" s="204"/>
    </row>
    <row r="184" spans="1:22" s="8" customFormat="1" ht="16.5" customHeight="1">
      <c r="A184" s="10">
        <v>4</v>
      </c>
      <c r="B184" s="203" t="s">
        <v>356</v>
      </c>
      <c r="C184" s="413" t="s">
        <v>308</v>
      </c>
      <c r="D184" s="337">
        <v>1</v>
      </c>
      <c r="E184" s="226">
        <v>8</v>
      </c>
      <c r="F184" s="323">
        <f t="shared" si="40"/>
        <v>8</v>
      </c>
      <c r="G184" s="339">
        <v>48.12</v>
      </c>
      <c r="H184" s="323">
        <f t="shared" si="41"/>
        <v>122.2248</v>
      </c>
      <c r="I184" s="204">
        <f t="shared" si="42"/>
        <v>977.7984</v>
      </c>
      <c r="J184" s="340">
        <v>0</v>
      </c>
      <c r="K184" s="204">
        <f t="shared" si="43"/>
        <v>0</v>
      </c>
      <c r="L184" s="341">
        <f t="shared" si="49"/>
        <v>48.12</v>
      </c>
      <c r="M184" s="323">
        <f t="shared" si="44"/>
        <v>122.2248</v>
      </c>
      <c r="N184" s="204">
        <f t="shared" si="45"/>
        <v>0</v>
      </c>
      <c r="O184" s="342">
        <v>0</v>
      </c>
      <c r="P184" s="323">
        <f t="shared" si="46"/>
        <v>0</v>
      </c>
      <c r="Q184" s="204">
        <f t="shared" si="47"/>
        <v>0</v>
      </c>
      <c r="R184" s="323">
        <f t="shared" si="48"/>
        <v>0</v>
      </c>
      <c r="V184" s="204"/>
    </row>
    <row r="185" spans="1:22" s="8" customFormat="1" ht="16.5" customHeight="1">
      <c r="A185" s="10">
        <v>4</v>
      </c>
      <c r="B185" s="203" t="s">
        <v>357</v>
      </c>
      <c r="C185" s="413" t="s">
        <v>358</v>
      </c>
      <c r="D185" s="337">
        <v>1</v>
      </c>
      <c r="E185" s="226">
        <v>0.4</v>
      </c>
      <c r="F185" s="323">
        <f t="shared" si="40"/>
        <v>0.4</v>
      </c>
      <c r="G185" s="339">
        <v>51.512</v>
      </c>
      <c r="H185" s="323">
        <f t="shared" si="41"/>
        <v>130.84048</v>
      </c>
      <c r="I185" s="204">
        <f t="shared" si="42"/>
        <v>52.33619200000001</v>
      </c>
      <c r="J185" s="260">
        <v>0</v>
      </c>
      <c r="K185" s="204">
        <f t="shared" si="43"/>
        <v>0</v>
      </c>
      <c r="L185" s="341">
        <f t="shared" si="49"/>
        <v>51.512</v>
      </c>
      <c r="M185" s="323">
        <f t="shared" si="44"/>
        <v>130.84048</v>
      </c>
      <c r="N185" s="204">
        <f t="shared" si="45"/>
        <v>0</v>
      </c>
      <c r="O185" s="342">
        <v>-0.5</v>
      </c>
      <c r="P185" s="323">
        <f t="shared" si="46"/>
        <v>-1.27</v>
      </c>
      <c r="Q185" s="204">
        <f t="shared" si="47"/>
        <v>-0.508</v>
      </c>
      <c r="R185" s="323">
        <f t="shared" si="48"/>
        <v>0</v>
      </c>
      <c r="V185" s="204"/>
    </row>
    <row r="186" spans="1:22" s="8" customFormat="1" ht="16.5" customHeight="1">
      <c r="A186" s="10">
        <v>4</v>
      </c>
      <c r="B186" s="415" t="s">
        <v>359</v>
      </c>
      <c r="C186" s="416" t="s">
        <v>360</v>
      </c>
      <c r="D186" s="220">
        <v>1</v>
      </c>
      <c r="E186" s="226">
        <v>48</v>
      </c>
      <c r="F186" s="323">
        <f t="shared" si="40"/>
        <v>48</v>
      </c>
      <c r="G186" s="339">
        <v>52.47</v>
      </c>
      <c r="H186" s="323">
        <f t="shared" si="41"/>
        <v>133.2738</v>
      </c>
      <c r="I186" s="417">
        <f t="shared" si="42"/>
        <v>6397.1424</v>
      </c>
      <c r="J186" s="261">
        <v>0</v>
      </c>
      <c r="K186" s="323">
        <f t="shared" si="43"/>
        <v>0</v>
      </c>
      <c r="L186" s="341">
        <f t="shared" si="49"/>
        <v>52.47</v>
      </c>
      <c r="M186" s="323">
        <f t="shared" si="44"/>
        <v>133.2738</v>
      </c>
      <c r="N186" s="204"/>
      <c r="O186" s="342">
        <v>0</v>
      </c>
      <c r="P186" s="323">
        <f t="shared" si="46"/>
        <v>0</v>
      </c>
      <c r="Q186" s="204">
        <f t="shared" si="47"/>
        <v>0</v>
      </c>
      <c r="R186" s="323">
        <f t="shared" si="48"/>
        <v>0</v>
      </c>
      <c r="V186" s="204"/>
    </row>
    <row r="187" spans="1:22" s="8" customFormat="1" ht="16.5" customHeight="1">
      <c r="A187" s="10">
        <v>4</v>
      </c>
      <c r="B187" s="203" t="s">
        <v>361</v>
      </c>
      <c r="C187" s="413" t="s">
        <v>362</v>
      </c>
      <c r="D187" s="337">
        <v>1</v>
      </c>
      <c r="E187" s="226">
        <v>111.6</v>
      </c>
      <c r="F187" s="323">
        <f>E187*D187+(Oil_wt_2-(C19*Cal!D45*Oil_density))</f>
        <v>778.1259721246464</v>
      </c>
      <c r="G187" s="339">
        <v>54.613</v>
      </c>
      <c r="H187" s="323">
        <f t="shared" si="41"/>
        <v>138.71702</v>
      </c>
      <c r="I187" s="204">
        <f t="shared" si="42"/>
        <v>107939.31603773401</v>
      </c>
      <c r="J187" s="260">
        <f>Total_Oil_Vol-C19*Cal!D45+E187*1</f>
        <v>879.2217576006525</v>
      </c>
      <c r="K187" s="204">
        <f t="shared" si="43"/>
        <v>879.2217576006525</v>
      </c>
      <c r="L187" s="418">
        <v>54.613</v>
      </c>
      <c r="M187" s="323">
        <f t="shared" si="44"/>
        <v>138.71702</v>
      </c>
      <c r="N187" s="204">
        <f aca="true" t="shared" si="50" ref="N187:N206">K187*M187</f>
        <v>121963.02213352485</v>
      </c>
      <c r="O187" s="342">
        <v>0</v>
      </c>
      <c r="P187" s="323">
        <f t="shared" si="46"/>
        <v>0</v>
      </c>
      <c r="Q187" s="204">
        <f t="shared" si="47"/>
        <v>0</v>
      </c>
      <c r="R187" s="323">
        <f t="shared" si="48"/>
        <v>0</v>
      </c>
      <c r="S187" s="419"/>
      <c r="V187" s="204"/>
    </row>
    <row r="188" spans="1:22" s="8" customFormat="1" ht="16.5" customHeight="1">
      <c r="A188" s="10">
        <v>4</v>
      </c>
      <c r="B188" s="203" t="s">
        <v>363</v>
      </c>
      <c r="C188" s="413" t="s">
        <v>364</v>
      </c>
      <c r="D188" s="337">
        <v>1</v>
      </c>
      <c r="E188" s="226">
        <v>108.1</v>
      </c>
      <c r="F188" s="323">
        <f aca="true" t="shared" si="51" ref="F188:F206">E188*D188</f>
        <v>108.1</v>
      </c>
      <c r="G188" s="339">
        <v>51.6</v>
      </c>
      <c r="H188" s="323">
        <f t="shared" si="41"/>
        <v>131.064</v>
      </c>
      <c r="I188" s="204">
        <f t="shared" si="42"/>
        <v>14168.018399999999</v>
      </c>
      <c r="J188" s="260">
        <f>E188/Alum_density</f>
        <v>39.84518982676004</v>
      </c>
      <c r="K188" s="204">
        <f t="shared" si="43"/>
        <v>39.84518982676004</v>
      </c>
      <c r="L188" s="341">
        <f aca="true" t="shared" si="52" ref="L188:L206">G188</f>
        <v>51.6</v>
      </c>
      <c r="M188" s="323">
        <f t="shared" si="44"/>
        <v>131.064</v>
      </c>
      <c r="N188" s="204">
        <f t="shared" si="50"/>
        <v>5222.269959454477</v>
      </c>
      <c r="O188" s="342">
        <v>0</v>
      </c>
      <c r="P188" s="323">
        <f t="shared" si="46"/>
        <v>0</v>
      </c>
      <c r="Q188" s="204">
        <f t="shared" si="47"/>
        <v>0</v>
      </c>
      <c r="R188" s="323">
        <f t="shared" si="48"/>
        <v>0</v>
      </c>
      <c r="V188" s="204"/>
    </row>
    <row r="189" spans="1:22" s="8" customFormat="1" ht="16.5" customHeight="1">
      <c r="A189" s="10">
        <v>4</v>
      </c>
      <c r="B189" s="203" t="s">
        <v>365</v>
      </c>
      <c r="C189" s="10">
        <v>52252</v>
      </c>
      <c r="D189" s="337">
        <v>1</v>
      </c>
      <c r="E189" s="397">
        <v>11.1</v>
      </c>
      <c r="F189" s="323">
        <f t="shared" si="51"/>
        <v>11.1</v>
      </c>
      <c r="G189" s="339">
        <v>51.512</v>
      </c>
      <c r="H189" s="323">
        <f t="shared" si="41"/>
        <v>130.84048</v>
      </c>
      <c r="I189" s="204">
        <f t="shared" si="42"/>
        <v>1452.329328</v>
      </c>
      <c r="J189" s="260">
        <v>0.793</v>
      </c>
      <c r="K189" s="323">
        <f t="shared" si="43"/>
        <v>0.793</v>
      </c>
      <c r="L189" s="323">
        <f t="shared" si="52"/>
        <v>51.512</v>
      </c>
      <c r="M189" s="323">
        <f t="shared" si="44"/>
        <v>130.84048</v>
      </c>
      <c r="N189" s="204">
        <f t="shared" si="50"/>
        <v>103.75650064000001</v>
      </c>
      <c r="O189" s="342">
        <v>1.7</v>
      </c>
      <c r="P189" s="323">
        <f t="shared" si="46"/>
        <v>4.318</v>
      </c>
      <c r="Q189" s="204">
        <f t="shared" si="47"/>
        <v>47.92979999999999</v>
      </c>
      <c r="R189" s="323">
        <f t="shared" si="48"/>
        <v>3.424174</v>
      </c>
      <c r="V189" s="204"/>
    </row>
    <row r="190" spans="1:22" s="8" customFormat="1" ht="16.5" customHeight="1">
      <c r="A190" s="10">
        <v>4</v>
      </c>
      <c r="B190" s="203" t="s">
        <v>366</v>
      </c>
      <c r="C190" s="10">
        <v>52160</v>
      </c>
      <c r="D190" s="337">
        <v>1</v>
      </c>
      <c r="E190" s="397">
        <v>11.1</v>
      </c>
      <c r="F190" s="323">
        <f t="shared" si="51"/>
        <v>11.1</v>
      </c>
      <c r="G190" s="339">
        <v>51.512</v>
      </c>
      <c r="H190" s="323">
        <f t="shared" si="41"/>
        <v>130.84048</v>
      </c>
      <c r="I190" s="204">
        <f t="shared" si="42"/>
        <v>1452.329328</v>
      </c>
      <c r="J190" s="260">
        <v>0.793</v>
      </c>
      <c r="K190" s="323">
        <f t="shared" si="43"/>
        <v>0.793</v>
      </c>
      <c r="L190" s="323">
        <f t="shared" si="52"/>
        <v>51.512</v>
      </c>
      <c r="M190" s="323">
        <f t="shared" si="44"/>
        <v>130.84048</v>
      </c>
      <c r="N190" s="204">
        <f t="shared" si="50"/>
        <v>103.75650064000001</v>
      </c>
      <c r="O190" s="342">
        <v>0</v>
      </c>
      <c r="P190" s="323">
        <f t="shared" si="46"/>
        <v>0</v>
      </c>
      <c r="Q190" s="204">
        <f t="shared" si="47"/>
        <v>0</v>
      </c>
      <c r="R190" s="323">
        <f t="shared" si="48"/>
        <v>0</v>
      </c>
      <c r="V190" s="204"/>
    </row>
    <row r="191" spans="1:22" s="8" customFormat="1" ht="16.5" customHeight="1">
      <c r="A191" s="10">
        <v>4</v>
      </c>
      <c r="B191" s="203" t="s">
        <v>367</v>
      </c>
      <c r="C191" s="10">
        <v>52160</v>
      </c>
      <c r="D191" s="337">
        <v>1</v>
      </c>
      <c r="E191" s="397">
        <v>11.1</v>
      </c>
      <c r="F191" s="323">
        <f t="shared" si="51"/>
        <v>11.1</v>
      </c>
      <c r="G191" s="339">
        <v>51.512</v>
      </c>
      <c r="H191" s="323">
        <f t="shared" si="41"/>
        <v>130.84048</v>
      </c>
      <c r="I191" s="204">
        <f t="shared" si="42"/>
        <v>1452.329328</v>
      </c>
      <c r="J191" s="260">
        <v>0.793</v>
      </c>
      <c r="K191" s="323">
        <f t="shared" si="43"/>
        <v>0.793</v>
      </c>
      <c r="L191" s="323">
        <f t="shared" si="52"/>
        <v>51.512</v>
      </c>
      <c r="M191" s="323">
        <f t="shared" si="44"/>
        <v>130.84048</v>
      </c>
      <c r="N191" s="204">
        <f t="shared" si="50"/>
        <v>103.75650064000001</v>
      </c>
      <c r="O191" s="342">
        <v>-1.7</v>
      </c>
      <c r="P191" s="323">
        <f t="shared" si="46"/>
        <v>-4.318</v>
      </c>
      <c r="Q191" s="204">
        <f t="shared" si="47"/>
        <v>-47.92979999999999</v>
      </c>
      <c r="R191" s="323">
        <f t="shared" si="48"/>
        <v>-3.424174</v>
      </c>
      <c r="V191" s="204"/>
    </row>
    <row r="192" spans="1:22" s="8" customFormat="1" ht="16.5" customHeight="1">
      <c r="A192" s="10">
        <v>4</v>
      </c>
      <c r="B192" s="203" t="s">
        <v>368</v>
      </c>
      <c r="C192" s="10">
        <v>52160</v>
      </c>
      <c r="D192" s="337">
        <v>1</v>
      </c>
      <c r="E192" s="397">
        <v>11.1</v>
      </c>
      <c r="F192" s="323">
        <f t="shared" si="51"/>
        <v>11.1</v>
      </c>
      <c r="G192" s="339">
        <v>51.512</v>
      </c>
      <c r="H192" s="323">
        <f t="shared" si="41"/>
        <v>130.84048</v>
      </c>
      <c r="I192" s="204">
        <f t="shared" si="42"/>
        <v>1452.329328</v>
      </c>
      <c r="J192" s="260">
        <v>0.793</v>
      </c>
      <c r="K192" s="323">
        <f t="shared" si="43"/>
        <v>0.793</v>
      </c>
      <c r="L192" s="323">
        <f t="shared" si="52"/>
        <v>51.512</v>
      </c>
      <c r="M192" s="323">
        <f t="shared" si="44"/>
        <v>130.84048</v>
      </c>
      <c r="N192" s="204">
        <f t="shared" si="50"/>
        <v>103.75650064000001</v>
      </c>
      <c r="O192" s="342">
        <v>-2.3</v>
      </c>
      <c r="P192" s="323">
        <f t="shared" si="46"/>
        <v>-5.842</v>
      </c>
      <c r="Q192" s="204">
        <f t="shared" si="47"/>
        <v>-64.8462</v>
      </c>
      <c r="R192" s="323">
        <f t="shared" si="48"/>
        <v>-4.632706</v>
      </c>
      <c r="V192" s="204"/>
    </row>
    <row r="193" spans="1:22" s="8" customFormat="1" ht="16.5" customHeight="1">
      <c r="A193" s="10">
        <v>4</v>
      </c>
      <c r="B193" s="203" t="s">
        <v>369</v>
      </c>
      <c r="C193" s="10">
        <v>52160</v>
      </c>
      <c r="D193" s="337">
        <v>1</v>
      </c>
      <c r="E193" s="397">
        <v>11.1</v>
      </c>
      <c r="F193" s="323">
        <f t="shared" si="51"/>
        <v>11.1</v>
      </c>
      <c r="G193" s="339">
        <v>51.512</v>
      </c>
      <c r="H193" s="323">
        <f t="shared" si="41"/>
        <v>130.84048</v>
      </c>
      <c r="I193" s="204">
        <f t="shared" si="42"/>
        <v>1452.329328</v>
      </c>
      <c r="J193" s="260">
        <v>0.793</v>
      </c>
      <c r="K193" s="323">
        <f t="shared" si="43"/>
        <v>0.793</v>
      </c>
      <c r="L193" s="323">
        <f t="shared" si="52"/>
        <v>51.512</v>
      </c>
      <c r="M193" s="323">
        <f t="shared" si="44"/>
        <v>130.84048</v>
      </c>
      <c r="N193" s="204">
        <f t="shared" si="50"/>
        <v>103.75650064000001</v>
      </c>
      <c r="O193" s="342">
        <v>-1.7</v>
      </c>
      <c r="P193" s="323">
        <f t="shared" si="46"/>
        <v>-4.318</v>
      </c>
      <c r="Q193" s="204">
        <f t="shared" si="47"/>
        <v>-47.92979999999999</v>
      </c>
      <c r="R193" s="323">
        <f t="shared" si="48"/>
        <v>-3.424174</v>
      </c>
      <c r="V193" s="204"/>
    </row>
    <row r="194" spans="1:22" s="8" customFormat="1" ht="16.5" customHeight="1">
      <c r="A194" s="10">
        <v>4</v>
      </c>
      <c r="B194" s="203" t="s">
        <v>370</v>
      </c>
      <c r="C194" s="10">
        <v>52160</v>
      </c>
      <c r="D194" s="337">
        <v>1</v>
      </c>
      <c r="E194" s="397">
        <v>11.1</v>
      </c>
      <c r="F194" s="323">
        <f t="shared" si="51"/>
        <v>11.1</v>
      </c>
      <c r="G194" s="339">
        <v>51.512</v>
      </c>
      <c r="H194" s="323">
        <f t="shared" si="41"/>
        <v>130.84048</v>
      </c>
      <c r="I194" s="204">
        <f t="shared" si="42"/>
        <v>1452.329328</v>
      </c>
      <c r="J194" s="260">
        <v>0.793</v>
      </c>
      <c r="K194" s="323">
        <f t="shared" si="43"/>
        <v>0.793</v>
      </c>
      <c r="L194" s="323">
        <f t="shared" si="52"/>
        <v>51.512</v>
      </c>
      <c r="M194" s="323">
        <f t="shared" si="44"/>
        <v>130.84048</v>
      </c>
      <c r="N194" s="204">
        <f t="shared" si="50"/>
        <v>103.75650064000001</v>
      </c>
      <c r="O194" s="342">
        <v>1.7</v>
      </c>
      <c r="P194" s="323">
        <f t="shared" si="46"/>
        <v>4.318</v>
      </c>
      <c r="Q194" s="204">
        <f t="shared" si="47"/>
        <v>47.92979999999999</v>
      </c>
      <c r="R194" s="323">
        <f t="shared" si="48"/>
        <v>3.424174</v>
      </c>
      <c r="V194" s="204"/>
    </row>
    <row r="195" spans="1:22" s="8" customFormat="1" ht="16.5" customHeight="1">
      <c r="A195" s="10">
        <v>4</v>
      </c>
      <c r="B195" s="203" t="s">
        <v>371</v>
      </c>
      <c r="C195" s="413" t="s">
        <v>372</v>
      </c>
      <c r="D195" s="337">
        <v>1</v>
      </c>
      <c r="E195" s="226">
        <v>50.2</v>
      </c>
      <c r="F195" s="323">
        <f t="shared" si="51"/>
        <v>50.2</v>
      </c>
      <c r="G195" s="339">
        <v>51.512</v>
      </c>
      <c r="H195" s="323">
        <f t="shared" si="41"/>
        <v>130.84048</v>
      </c>
      <c r="I195" s="204">
        <f t="shared" si="42"/>
        <v>6568.192096000001</v>
      </c>
      <c r="J195" s="260">
        <v>6.8</v>
      </c>
      <c r="K195" s="323">
        <f t="shared" si="43"/>
        <v>6.8</v>
      </c>
      <c r="L195" s="323">
        <f t="shared" si="52"/>
        <v>51.512</v>
      </c>
      <c r="M195" s="323">
        <f t="shared" si="44"/>
        <v>130.84048</v>
      </c>
      <c r="N195" s="204">
        <f t="shared" si="50"/>
        <v>889.715264</v>
      </c>
      <c r="O195" s="342">
        <v>0</v>
      </c>
      <c r="P195" s="323">
        <f t="shared" si="46"/>
        <v>0</v>
      </c>
      <c r="Q195" s="204">
        <f t="shared" si="47"/>
        <v>0</v>
      </c>
      <c r="R195" s="323">
        <f t="shared" si="48"/>
        <v>0</v>
      </c>
      <c r="V195" s="204"/>
    </row>
    <row r="196" spans="1:22" s="8" customFormat="1" ht="16.5" customHeight="1">
      <c r="A196" s="10">
        <v>4</v>
      </c>
      <c r="B196" s="203" t="s">
        <v>373</v>
      </c>
      <c r="C196" s="413" t="s">
        <v>374</v>
      </c>
      <c r="D196" s="337">
        <v>1</v>
      </c>
      <c r="E196" s="397">
        <v>11.6</v>
      </c>
      <c r="F196" s="323">
        <f t="shared" si="51"/>
        <v>11.6</v>
      </c>
      <c r="G196" s="339">
        <v>51.512</v>
      </c>
      <c r="H196" s="323">
        <f t="shared" si="41"/>
        <v>130.84048</v>
      </c>
      <c r="I196" s="204">
        <f t="shared" si="42"/>
        <v>1517.7495680000002</v>
      </c>
      <c r="J196" s="260">
        <v>2.7</v>
      </c>
      <c r="K196" s="323">
        <f t="shared" si="43"/>
        <v>2.7</v>
      </c>
      <c r="L196" s="341">
        <f t="shared" si="52"/>
        <v>51.512</v>
      </c>
      <c r="M196" s="323">
        <f t="shared" si="44"/>
        <v>130.84048</v>
      </c>
      <c r="N196" s="204">
        <f t="shared" si="50"/>
        <v>353.26929600000005</v>
      </c>
      <c r="O196" s="342">
        <v>2.3</v>
      </c>
      <c r="P196" s="323">
        <f t="shared" si="46"/>
        <v>5.842</v>
      </c>
      <c r="Q196" s="204">
        <f t="shared" si="47"/>
        <v>67.76719999999999</v>
      </c>
      <c r="R196" s="323">
        <f t="shared" si="48"/>
        <v>15.7734</v>
      </c>
      <c r="V196" s="204"/>
    </row>
    <row r="197" spans="1:22" s="8" customFormat="1" ht="16.5" customHeight="1">
      <c r="A197" s="10">
        <v>4</v>
      </c>
      <c r="B197" s="203" t="s">
        <v>375</v>
      </c>
      <c r="C197" s="10">
        <v>49804</v>
      </c>
      <c r="D197" s="337">
        <v>1</v>
      </c>
      <c r="E197" s="226">
        <v>40.2</v>
      </c>
      <c r="F197" s="323">
        <f t="shared" si="51"/>
        <v>40.2</v>
      </c>
      <c r="G197" s="339">
        <v>47.3</v>
      </c>
      <c r="H197" s="323">
        <f t="shared" si="41"/>
        <v>120.142</v>
      </c>
      <c r="I197" s="204">
        <f t="shared" si="42"/>
        <v>4829.7084</v>
      </c>
      <c r="J197" s="340">
        <v>0</v>
      </c>
      <c r="K197" s="204">
        <f t="shared" si="43"/>
        <v>0</v>
      </c>
      <c r="L197" s="341">
        <f t="shared" si="52"/>
        <v>47.3</v>
      </c>
      <c r="M197" s="323">
        <f t="shared" si="44"/>
        <v>120.142</v>
      </c>
      <c r="N197" s="204">
        <f t="shared" si="50"/>
        <v>0</v>
      </c>
      <c r="O197" s="342">
        <v>0.75</v>
      </c>
      <c r="P197" s="323">
        <f t="shared" si="46"/>
        <v>1.905</v>
      </c>
      <c r="Q197" s="204">
        <f t="shared" si="47"/>
        <v>76.581</v>
      </c>
      <c r="R197" s="323">
        <f t="shared" si="48"/>
        <v>0</v>
      </c>
      <c r="V197" s="204"/>
    </row>
    <row r="198" spans="1:22" s="8" customFormat="1" ht="16.5" customHeight="1">
      <c r="A198" s="10">
        <v>4</v>
      </c>
      <c r="B198" s="203" t="s">
        <v>376</v>
      </c>
      <c r="C198" s="10">
        <v>52253</v>
      </c>
      <c r="D198" s="337">
        <v>1</v>
      </c>
      <c r="E198" s="226">
        <v>130.2</v>
      </c>
      <c r="F198" s="323">
        <f t="shared" si="51"/>
        <v>130.2</v>
      </c>
      <c r="G198" s="339">
        <v>48.5</v>
      </c>
      <c r="H198" s="323">
        <f t="shared" si="41"/>
        <v>123.19</v>
      </c>
      <c r="I198" s="204">
        <f t="shared" si="42"/>
        <v>16039.337999999998</v>
      </c>
      <c r="J198" s="340">
        <v>0</v>
      </c>
      <c r="K198" s="204">
        <f t="shared" si="43"/>
        <v>0</v>
      </c>
      <c r="L198" s="341">
        <f t="shared" si="52"/>
        <v>48.5</v>
      </c>
      <c r="M198" s="323">
        <f t="shared" si="44"/>
        <v>123.19</v>
      </c>
      <c r="N198" s="204">
        <f t="shared" si="50"/>
        <v>0</v>
      </c>
      <c r="O198" s="342">
        <v>1.8</v>
      </c>
      <c r="P198" s="323">
        <f t="shared" si="46"/>
        <v>4.572</v>
      </c>
      <c r="Q198" s="204">
        <f t="shared" si="47"/>
        <v>595.2743999999999</v>
      </c>
      <c r="R198" s="323">
        <f t="shared" si="48"/>
        <v>0</v>
      </c>
      <c r="V198" s="204"/>
    </row>
    <row r="199" spans="1:22" s="8" customFormat="1" ht="16.5" customHeight="1">
      <c r="A199" s="10">
        <v>4</v>
      </c>
      <c r="B199" s="203" t="s">
        <v>377</v>
      </c>
      <c r="C199" s="10">
        <v>55203</v>
      </c>
      <c r="D199" s="337">
        <v>1</v>
      </c>
      <c r="E199" s="226">
        <v>0.4</v>
      </c>
      <c r="F199" s="323">
        <f t="shared" si="51"/>
        <v>0.4</v>
      </c>
      <c r="G199" s="339">
        <v>47.3</v>
      </c>
      <c r="H199" s="323">
        <f t="shared" si="41"/>
        <v>120.142</v>
      </c>
      <c r="I199" s="204">
        <f t="shared" si="42"/>
        <v>48.0568</v>
      </c>
      <c r="J199" s="340">
        <v>0</v>
      </c>
      <c r="K199" s="204">
        <f t="shared" si="43"/>
        <v>0</v>
      </c>
      <c r="L199" s="341">
        <f t="shared" si="52"/>
        <v>47.3</v>
      </c>
      <c r="M199" s="323">
        <f t="shared" si="44"/>
        <v>120.142</v>
      </c>
      <c r="N199" s="204">
        <f t="shared" si="50"/>
        <v>0</v>
      </c>
      <c r="O199" s="342">
        <v>1.8</v>
      </c>
      <c r="P199" s="323">
        <f t="shared" si="46"/>
        <v>4.572</v>
      </c>
      <c r="Q199" s="204">
        <f t="shared" si="47"/>
        <v>1.8288000000000002</v>
      </c>
      <c r="R199" s="323">
        <f t="shared" si="48"/>
        <v>0</v>
      </c>
      <c r="V199" s="204"/>
    </row>
    <row r="200" spans="1:22" s="8" customFormat="1" ht="16.5" customHeight="1">
      <c r="A200" s="10">
        <v>4</v>
      </c>
      <c r="B200" s="203" t="s">
        <v>378</v>
      </c>
      <c r="C200" s="413" t="s">
        <v>379</v>
      </c>
      <c r="D200" s="337">
        <v>1</v>
      </c>
      <c r="E200" s="226">
        <v>0.7</v>
      </c>
      <c r="F200" s="323">
        <f t="shared" si="51"/>
        <v>0.7</v>
      </c>
      <c r="G200" s="339">
        <v>46.77</v>
      </c>
      <c r="H200" s="323">
        <f t="shared" si="41"/>
        <v>118.79580000000001</v>
      </c>
      <c r="I200" s="204">
        <f t="shared" si="42"/>
        <v>83.15706</v>
      </c>
      <c r="J200" s="340">
        <v>0</v>
      </c>
      <c r="K200" s="204">
        <f t="shared" si="43"/>
        <v>0</v>
      </c>
      <c r="L200" s="341">
        <f t="shared" si="52"/>
        <v>46.77</v>
      </c>
      <c r="M200" s="323">
        <f t="shared" si="44"/>
        <v>118.79580000000001</v>
      </c>
      <c r="N200" s="204">
        <f t="shared" si="50"/>
        <v>0</v>
      </c>
      <c r="O200" s="342">
        <v>0</v>
      </c>
      <c r="P200" s="323">
        <f t="shared" si="46"/>
        <v>0</v>
      </c>
      <c r="Q200" s="204">
        <f t="shared" si="47"/>
        <v>0</v>
      </c>
      <c r="R200" s="323">
        <f t="shared" si="48"/>
        <v>0</v>
      </c>
      <c r="V200" s="204"/>
    </row>
    <row r="201" spans="1:22" s="8" customFormat="1" ht="16.5" customHeight="1">
      <c r="A201" s="10">
        <v>4</v>
      </c>
      <c r="B201" s="203" t="s">
        <v>380</v>
      </c>
      <c r="C201" s="10">
        <v>52352</v>
      </c>
      <c r="D201" s="337">
        <v>1</v>
      </c>
      <c r="E201" s="226">
        <v>5.7</v>
      </c>
      <c r="F201" s="323">
        <f t="shared" si="51"/>
        <v>5.7</v>
      </c>
      <c r="G201" s="339">
        <v>46.77</v>
      </c>
      <c r="H201" s="323">
        <f t="shared" si="41"/>
        <v>118.79580000000001</v>
      </c>
      <c r="I201" s="204">
        <f t="shared" si="42"/>
        <v>677.1360600000002</v>
      </c>
      <c r="J201" s="340">
        <v>0</v>
      </c>
      <c r="K201" s="204">
        <f t="shared" si="43"/>
        <v>0</v>
      </c>
      <c r="L201" s="341">
        <f t="shared" si="52"/>
        <v>46.77</v>
      </c>
      <c r="M201" s="323">
        <f t="shared" si="44"/>
        <v>118.79580000000001</v>
      </c>
      <c r="N201" s="204">
        <f t="shared" si="50"/>
        <v>0</v>
      </c>
      <c r="O201" s="342">
        <v>1.85</v>
      </c>
      <c r="P201" s="323">
        <f t="shared" si="46"/>
        <v>4.699000000000001</v>
      </c>
      <c r="Q201" s="204">
        <f t="shared" si="47"/>
        <v>26.784300000000005</v>
      </c>
      <c r="R201" s="323">
        <f t="shared" si="48"/>
        <v>0</v>
      </c>
      <c r="V201" s="204"/>
    </row>
    <row r="202" spans="1:22" s="8" customFormat="1" ht="16.5" customHeight="1">
      <c r="A202" s="10">
        <v>4</v>
      </c>
      <c r="B202" s="203" t="s">
        <v>381</v>
      </c>
      <c r="C202" s="413" t="s">
        <v>382</v>
      </c>
      <c r="D202" s="337">
        <v>1</v>
      </c>
      <c r="E202" s="226">
        <v>2.6</v>
      </c>
      <c r="F202" s="323">
        <f t="shared" si="51"/>
        <v>2.6</v>
      </c>
      <c r="G202" s="339">
        <v>47.28</v>
      </c>
      <c r="H202" s="323">
        <f t="shared" si="41"/>
        <v>120.0912</v>
      </c>
      <c r="I202" s="204">
        <f t="shared" si="42"/>
        <v>312.23712</v>
      </c>
      <c r="J202" s="340">
        <v>0</v>
      </c>
      <c r="K202" s="204">
        <f t="shared" si="43"/>
        <v>0</v>
      </c>
      <c r="L202" s="341">
        <f t="shared" si="52"/>
        <v>47.28</v>
      </c>
      <c r="M202" s="323">
        <f t="shared" si="44"/>
        <v>120.0912</v>
      </c>
      <c r="N202" s="204">
        <f t="shared" si="50"/>
        <v>0</v>
      </c>
      <c r="O202" s="342">
        <v>0</v>
      </c>
      <c r="P202" s="323">
        <f t="shared" si="46"/>
        <v>0</v>
      </c>
      <c r="Q202" s="204">
        <f t="shared" si="47"/>
        <v>0</v>
      </c>
      <c r="R202" s="323">
        <f t="shared" si="48"/>
        <v>0</v>
      </c>
      <c r="V202" s="204"/>
    </row>
    <row r="203" spans="1:22" s="8" customFormat="1" ht="16.5" customHeight="1">
      <c r="A203" s="10">
        <v>4</v>
      </c>
      <c r="B203" s="203" t="s">
        <v>383</v>
      </c>
      <c r="C203" s="10">
        <v>49806</v>
      </c>
      <c r="D203" s="337">
        <v>1</v>
      </c>
      <c r="E203" s="226">
        <v>91.7</v>
      </c>
      <c r="F203" s="323">
        <f t="shared" si="51"/>
        <v>91.7</v>
      </c>
      <c r="G203" s="339">
        <v>46.77</v>
      </c>
      <c r="H203" s="323">
        <f t="shared" si="41"/>
        <v>118.79580000000001</v>
      </c>
      <c r="I203" s="204">
        <f t="shared" si="42"/>
        <v>10893.574860000002</v>
      </c>
      <c r="J203" s="340">
        <v>0</v>
      </c>
      <c r="K203" s="204">
        <f t="shared" si="43"/>
        <v>0</v>
      </c>
      <c r="L203" s="341">
        <f t="shared" si="52"/>
        <v>46.77</v>
      </c>
      <c r="M203" s="323">
        <f t="shared" si="44"/>
        <v>118.79580000000001</v>
      </c>
      <c r="N203" s="204">
        <f t="shared" si="50"/>
        <v>0</v>
      </c>
      <c r="O203" s="342">
        <v>0</v>
      </c>
      <c r="P203" s="323">
        <f t="shared" si="46"/>
        <v>0</v>
      </c>
      <c r="Q203" s="204">
        <f t="shared" si="47"/>
        <v>0</v>
      </c>
      <c r="R203" s="323">
        <f t="shared" si="48"/>
        <v>0</v>
      </c>
      <c r="V203" s="204"/>
    </row>
    <row r="204" spans="1:22" s="8" customFormat="1" ht="16.5" customHeight="1">
      <c r="A204" s="10">
        <v>4</v>
      </c>
      <c r="B204" s="203" t="s">
        <v>384</v>
      </c>
      <c r="C204" s="413" t="s">
        <v>385</v>
      </c>
      <c r="D204" s="337">
        <v>1</v>
      </c>
      <c r="E204" s="226">
        <v>3.5</v>
      </c>
      <c r="F204" s="323">
        <f t="shared" si="51"/>
        <v>3.5</v>
      </c>
      <c r="G204" s="339">
        <v>46.77</v>
      </c>
      <c r="H204" s="323">
        <f t="shared" si="41"/>
        <v>118.79580000000001</v>
      </c>
      <c r="I204" s="204">
        <f t="shared" si="42"/>
        <v>415.78530000000006</v>
      </c>
      <c r="J204" s="340">
        <v>0</v>
      </c>
      <c r="K204" s="204">
        <f t="shared" si="43"/>
        <v>0</v>
      </c>
      <c r="L204" s="341">
        <f t="shared" si="52"/>
        <v>46.77</v>
      </c>
      <c r="M204" s="323">
        <f t="shared" si="44"/>
        <v>118.79580000000001</v>
      </c>
      <c r="N204" s="204">
        <f t="shared" si="50"/>
        <v>0</v>
      </c>
      <c r="O204" s="342">
        <v>0.5</v>
      </c>
      <c r="P204" s="323">
        <f t="shared" si="46"/>
        <v>1.27</v>
      </c>
      <c r="Q204" s="204">
        <f t="shared" si="47"/>
        <v>4.445</v>
      </c>
      <c r="R204" s="323">
        <f t="shared" si="48"/>
        <v>0</v>
      </c>
      <c r="V204" s="204"/>
    </row>
    <row r="205" spans="1:22" s="8" customFormat="1" ht="16.5" customHeight="1">
      <c r="A205" s="10">
        <v>4</v>
      </c>
      <c r="B205" s="203" t="s">
        <v>386</v>
      </c>
      <c r="C205" s="10">
        <v>49805</v>
      </c>
      <c r="D205" s="337">
        <v>1</v>
      </c>
      <c r="E205" s="226">
        <v>18.1</v>
      </c>
      <c r="F205" s="323">
        <f t="shared" si="51"/>
        <v>18.1</v>
      </c>
      <c r="G205" s="339">
        <v>46.5</v>
      </c>
      <c r="H205" s="323">
        <f t="shared" si="41"/>
        <v>118.11</v>
      </c>
      <c r="I205" s="204">
        <f t="shared" si="42"/>
        <v>2137.791</v>
      </c>
      <c r="J205" s="340">
        <v>0</v>
      </c>
      <c r="K205" s="204">
        <f t="shared" si="43"/>
        <v>0</v>
      </c>
      <c r="L205" s="341">
        <f t="shared" si="52"/>
        <v>46.5</v>
      </c>
      <c r="M205" s="323">
        <f t="shared" si="44"/>
        <v>118.11</v>
      </c>
      <c r="N205" s="204">
        <f t="shared" si="50"/>
        <v>0</v>
      </c>
      <c r="O205" s="342">
        <v>0.75</v>
      </c>
      <c r="P205" s="323">
        <f t="shared" si="46"/>
        <v>1.905</v>
      </c>
      <c r="Q205" s="204">
        <f t="shared" si="47"/>
        <v>34.480500000000006</v>
      </c>
      <c r="R205" s="323">
        <f t="shared" si="48"/>
        <v>0</v>
      </c>
      <c r="V205" s="204"/>
    </row>
    <row r="206" spans="1:22" s="8" customFormat="1" ht="16.5" customHeight="1">
      <c r="A206" s="10">
        <v>4</v>
      </c>
      <c r="B206" s="203" t="s">
        <v>387</v>
      </c>
      <c r="C206" s="413" t="s">
        <v>388</v>
      </c>
      <c r="D206" s="337">
        <v>1</v>
      </c>
      <c r="E206" s="226">
        <v>2</v>
      </c>
      <c r="F206" s="323">
        <f t="shared" si="51"/>
        <v>2</v>
      </c>
      <c r="G206" s="339">
        <v>46.625</v>
      </c>
      <c r="H206" s="323">
        <f t="shared" si="41"/>
        <v>118.4275</v>
      </c>
      <c r="I206" s="204">
        <f t="shared" si="42"/>
        <v>236.855</v>
      </c>
      <c r="J206" s="340">
        <v>0</v>
      </c>
      <c r="K206" s="204">
        <f t="shared" si="43"/>
        <v>0</v>
      </c>
      <c r="L206" s="341">
        <f t="shared" si="52"/>
        <v>46.625</v>
      </c>
      <c r="M206" s="323">
        <f t="shared" si="44"/>
        <v>118.4275</v>
      </c>
      <c r="N206" s="204">
        <f t="shared" si="50"/>
        <v>0</v>
      </c>
      <c r="O206" s="342">
        <v>0</v>
      </c>
      <c r="P206" s="323">
        <f t="shared" si="46"/>
        <v>0</v>
      </c>
      <c r="Q206" s="204">
        <f t="shared" si="47"/>
        <v>0</v>
      </c>
      <c r="R206" s="323">
        <f t="shared" si="48"/>
        <v>0</v>
      </c>
      <c r="V206" s="204"/>
    </row>
    <row r="207" spans="1:22" s="8" customFormat="1" ht="16.5" customHeight="1">
      <c r="A207" s="10"/>
      <c r="B207" s="203"/>
      <c r="C207" s="10"/>
      <c r="D207" s="337"/>
      <c r="E207" s="226"/>
      <c r="F207" s="323"/>
      <c r="G207" s="339"/>
      <c r="H207" s="323"/>
      <c r="I207" s="204"/>
      <c r="J207" s="340"/>
      <c r="K207" s="204"/>
      <c r="L207" s="341"/>
      <c r="M207" s="323"/>
      <c r="N207" s="204"/>
      <c r="O207" s="342"/>
      <c r="P207" s="323"/>
      <c r="Q207" s="204"/>
      <c r="R207" s="323"/>
      <c r="V207" s="204"/>
    </row>
    <row r="208" spans="1:22" s="8" customFormat="1" ht="16.5" customHeight="1">
      <c r="A208" s="10">
        <v>3</v>
      </c>
      <c r="B208" s="412" t="s">
        <v>389</v>
      </c>
      <c r="C208" s="204">
        <v>52378</v>
      </c>
      <c r="D208" s="346"/>
      <c r="E208" s="226"/>
      <c r="F208" s="323"/>
      <c r="G208" s="339"/>
      <c r="H208" s="323"/>
      <c r="I208" s="204"/>
      <c r="J208" s="340"/>
      <c r="K208" s="204"/>
      <c r="L208" s="341"/>
      <c r="M208" s="323"/>
      <c r="N208" s="204"/>
      <c r="O208" s="342"/>
      <c r="P208" s="323"/>
      <c r="Q208" s="204"/>
      <c r="R208" s="323"/>
      <c r="V208" s="204"/>
    </row>
    <row r="209" spans="1:22" s="8" customFormat="1" ht="16.5" customHeight="1">
      <c r="A209" s="10"/>
      <c r="B209" s="207" t="s">
        <v>248</v>
      </c>
      <c r="C209" s="323">
        <f>SUM(F211:F220)</f>
        <v>383.2</v>
      </c>
      <c r="D209" s="346" t="s">
        <v>177</v>
      </c>
      <c r="E209" s="367" t="s">
        <v>183</v>
      </c>
      <c r="F209" s="323"/>
      <c r="G209" s="339"/>
      <c r="H209" s="323"/>
      <c r="I209" s="204"/>
      <c r="J209" s="340"/>
      <c r="K209" s="204"/>
      <c r="L209" s="341"/>
      <c r="M209" s="323"/>
      <c r="N209" s="204"/>
      <c r="O209" s="342"/>
      <c r="P209" s="323"/>
      <c r="Q209" s="204"/>
      <c r="R209" s="323"/>
      <c r="V209" s="204"/>
    </row>
    <row r="210" spans="1:22" s="8" customFormat="1" ht="15.75" customHeight="1">
      <c r="A210" s="10"/>
      <c r="B210" s="207" t="s">
        <v>237</v>
      </c>
      <c r="C210" s="226">
        <v>382.7</v>
      </c>
      <c r="D210" s="346" t="s">
        <v>177</v>
      </c>
      <c r="E210" s="377">
        <f>C210-C209</f>
        <v>-0.5</v>
      </c>
      <c r="F210" s="323"/>
      <c r="G210" s="339"/>
      <c r="H210" s="323"/>
      <c r="I210" s="204"/>
      <c r="J210" s="340"/>
      <c r="K210" s="204"/>
      <c r="L210" s="341"/>
      <c r="M210" s="323"/>
      <c r="N210" s="204"/>
      <c r="O210" s="342"/>
      <c r="P210" s="323"/>
      <c r="Q210" s="204"/>
      <c r="R210" s="323"/>
      <c r="V210" s="204"/>
    </row>
    <row r="211" spans="1:22" s="8" customFormat="1" ht="17.25" customHeight="1">
      <c r="A211" s="10">
        <v>4</v>
      </c>
      <c r="B211" s="203" t="s">
        <v>390</v>
      </c>
      <c r="C211" s="413">
        <v>49808</v>
      </c>
      <c r="D211" s="337">
        <v>1</v>
      </c>
      <c r="E211" s="226">
        <v>25</v>
      </c>
      <c r="F211" s="323">
        <f aca="true" t="shared" si="53" ref="F211:F220">E211*D211</f>
        <v>25</v>
      </c>
      <c r="G211" s="339">
        <v>48.91</v>
      </c>
      <c r="H211" s="323">
        <f aca="true" t="shared" si="54" ref="H211:H220">G211*2.54</f>
        <v>124.2314</v>
      </c>
      <c r="I211" s="204">
        <f aca="true" t="shared" si="55" ref="I211:I220">F211*H211</f>
        <v>3105.785</v>
      </c>
      <c r="J211" s="340">
        <v>0</v>
      </c>
      <c r="K211" s="204">
        <f aca="true" t="shared" si="56" ref="K211:K220">J211*D211</f>
        <v>0</v>
      </c>
      <c r="L211" s="341">
        <f aca="true" t="shared" si="57" ref="L211:L220">G211</f>
        <v>48.91</v>
      </c>
      <c r="M211" s="323">
        <f aca="true" t="shared" si="58" ref="M211:M220">L211*2.54</f>
        <v>124.2314</v>
      </c>
      <c r="N211" s="204">
        <f aca="true" t="shared" si="59" ref="N211:N219">K211*M211</f>
        <v>0</v>
      </c>
      <c r="O211" s="342">
        <v>0</v>
      </c>
      <c r="P211" s="323">
        <f aca="true" t="shared" si="60" ref="P211:P220">O211*2.54</f>
        <v>0</v>
      </c>
      <c r="Q211" s="204">
        <f aca="true" t="shared" si="61" ref="Q211:Q220">F211*P211</f>
        <v>0</v>
      </c>
      <c r="R211" s="323">
        <f aca="true" t="shared" si="62" ref="R211:R220">K211*P211</f>
        <v>0</v>
      </c>
      <c r="V211" s="204"/>
    </row>
    <row r="212" spans="1:22" s="8" customFormat="1" ht="16.5" customHeight="1">
      <c r="A212" s="10">
        <v>4</v>
      </c>
      <c r="B212" s="203" t="s">
        <v>391</v>
      </c>
      <c r="C212" s="413" t="s">
        <v>392</v>
      </c>
      <c r="D212" s="337">
        <v>1</v>
      </c>
      <c r="E212" s="226">
        <v>61.2</v>
      </c>
      <c r="F212" s="323">
        <f t="shared" si="53"/>
        <v>61.2</v>
      </c>
      <c r="G212" s="339">
        <v>48.9</v>
      </c>
      <c r="H212" s="323">
        <f t="shared" si="54"/>
        <v>124.206</v>
      </c>
      <c r="I212" s="204">
        <f t="shared" si="55"/>
        <v>7601.407200000001</v>
      </c>
      <c r="J212" s="340">
        <v>0</v>
      </c>
      <c r="K212" s="204">
        <f t="shared" si="56"/>
        <v>0</v>
      </c>
      <c r="L212" s="341">
        <f t="shared" si="57"/>
        <v>48.9</v>
      </c>
      <c r="M212" s="323">
        <f t="shared" si="58"/>
        <v>124.206</v>
      </c>
      <c r="N212" s="204">
        <f t="shared" si="59"/>
        <v>0</v>
      </c>
      <c r="O212" s="342">
        <v>1</v>
      </c>
      <c r="P212" s="323">
        <f t="shared" si="60"/>
        <v>2.54</v>
      </c>
      <c r="Q212" s="204">
        <f t="shared" si="61"/>
        <v>155.448</v>
      </c>
      <c r="R212" s="323">
        <f t="shared" si="62"/>
        <v>0</v>
      </c>
      <c r="V212" s="204"/>
    </row>
    <row r="213" spans="1:22" s="8" customFormat="1" ht="16.5" customHeight="1">
      <c r="A213" s="10">
        <v>4</v>
      </c>
      <c r="B213" s="203" t="s">
        <v>393</v>
      </c>
      <c r="C213" s="413" t="s">
        <v>394</v>
      </c>
      <c r="D213" s="337">
        <v>1</v>
      </c>
      <c r="E213" s="226">
        <v>0.2</v>
      </c>
      <c r="F213" s="323">
        <f t="shared" si="53"/>
        <v>0.2</v>
      </c>
      <c r="G213" s="339">
        <v>48.9</v>
      </c>
      <c r="H213" s="323">
        <f t="shared" si="54"/>
        <v>124.206</v>
      </c>
      <c r="I213" s="204">
        <f t="shared" si="55"/>
        <v>24.8412</v>
      </c>
      <c r="J213" s="340">
        <v>0</v>
      </c>
      <c r="K213" s="204">
        <f t="shared" si="56"/>
        <v>0</v>
      </c>
      <c r="L213" s="341">
        <f t="shared" si="57"/>
        <v>48.9</v>
      </c>
      <c r="M213" s="323">
        <f t="shared" si="58"/>
        <v>124.206</v>
      </c>
      <c r="N213" s="204">
        <f t="shared" si="59"/>
        <v>0</v>
      </c>
      <c r="O213" s="342">
        <v>0</v>
      </c>
      <c r="P213" s="323">
        <f t="shared" si="60"/>
        <v>0</v>
      </c>
      <c r="Q213" s="204">
        <f t="shared" si="61"/>
        <v>0</v>
      </c>
      <c r="R213" s="323">
        <f t="shared" si="62"/>
        <v>0</v>
      </c>
      <c r="V213" s="204"/>
    </row>
    <row r="214" spans="1:22" s="8" customFormat="1" ht="16.5" customHeight="1">
      <c r="A214" s="10">
        <v>4</v>
      </c>
      <c r="B214" s="203" t="s">
        <v>395</v>
      </c>
      <c r="C214" s="413" t="s">
        <v>396</v>
      </c>
      <c r="D214" s="337">
        <v>1</v>
      </c>
      <c r="E214" s="226">
        <v>10.4</v>
      </c>
      <c r="F214" s="323">
        <f t="shared" si="53"/>
        <v>10.4</v>
      </c>
      <c r="G214" s="339">
        <v>48.9</v>
      </c>
      <c r="H214" s="323">
        <f t="shared" si="54"/>
        <v>124.206</v>
      </c>
      <c r="I214" s="204">
        <f t="shared" si="55"/>
        <v>1291.7424</v>
      </c>
      <c r="J214" s="340">
        <v>0</v>
      </c>
      <c r="K214" s="204">
        <f t="shared" si="56"/>
        <v>0</v>
      </c>
      <c r="L214" s="341">
        <f t="shared" si="57"/>
        <v>48.9</v>
      </c>
      <c r="M214" s="323">
        <f t="shared" si="58"/>
        <v>124.206</v>
      </c>
      <c r="N214" s="204">
        <f t="shared" si="59"/>
        <v>0</v>
      </c>
      <c r="O214" s="342">
        <v>-0.4</v>
      </c>
      <c r="P214" s="323">
        <f t="shared" si="60"/>
        <v>-1.016</v>
      </c>
      <c r="Q214" s="204">
        <f t="shared" si="61"/>
        <v>-10.5664</v>
      </c>
      <c r="R214" s="323">
        <f t="shared" si="62"/>
        <v>0</v>
      </c>
      <c r="V214" s="204"/>
    </row>
    <row r="215" spans="1:22" s="8" customFormat="1" ht="16.5" customHeight="1">
      <c r="A215" s="10">
        <v>4</v>
      </c>
      <c r="B215" s="203" t="s">
        <v>397</v>
      </c>
      <c r="C215" s="413" t="s">
        <v>398</v>
      </c>
      <c r="D215" s="337">
        <v>1</v>
      </c>
      <c r="E215" s="226">
        <v>3.1</v>
      </c>
      <c r="F215" s="323">
        <f t="shared" si="53"/>
        <v>3.1</v>
      </c>
      <c r="G215" s="339">
        <v>48.9</v>
      </c>
      <c r="H215" s="323">
        <f t="shared" si="54"/>
        <v>124.206</v>
      </c>
      <c r="I215" s="204">
        <f t="shared" si="55"/>
        <v>385.03860000000003</v>
      </c>
      <c r="J215" s="340">
        <v>0</v>
      </c>
      <c r="K215" s="204">
        <f t="shared" si="56"/>
        <v>0</v>
      </c>
      <c r="L215" s="341">
        <f t="shared" si="57"/>
        <v>48.9</v>
      </c>
      <c r="M215" s="323">
        <f t="shared" si="58"/>
        <v>124.206</v>
      </c>
      <c r="N215" s="204">
        <f t="shared" si="59"/>
        <v>0</v>
      </c>
      <c r="O215" s="342">
        <v>0</v>
      </c>
      <c r="P215" s="323">
        <f t="shared" si="60"/>
        <v>0</v>
      </c>
      <c r="Q215" s="204">
        <f t="shared" si="61"/>
        <v>0</v>
      </c>
      <c r="R215" s="323">
        <f t="shared" si="62"/>
        <v>0</v>
      </c>
      <c r="V215" s="204"/>
    </row>
    <row r="216" spans="1:22" s="8" customFormat="1" ht="17.25" customHeight="1">
      <c r="A216" s="10">
        <v>4</v>
      </c>
      <c r="B216" s="203" t="s">
        <v>399</v>
      </c>
      <c r="C216" s="413" t="s">
        <v>400</v>
      </c>
      <c r="D216" s="337">
        <v>1</v>
      </c>
      <c r="E216" s="226">
        <v>17.8</v>
      </c>
      <c r="F216" s="323">
        <f t="shared" si="53"/>
        <v>17.8</v>
      </c>
      <c r="G216" s="339">
        <v>48.9</v>
      </c>
      <c r="H216" s="323">
        <f t="shared" si="54"/>
        <v>124.206</v>
      </c>
      <c r="I216" s="204">
        <f t="shared" si="55"/>
        <v>2210.8668000000002</v>
      </c>
      <c r="J216" s="340">
        <v>0</v>
      </c>
      <c r="K216" s="204">
        <f t="shared" si="56"/>
        <v>0</v>
      </c>
      <c r="L216" s="341">
        <f t="shared" si="57"/>
        <v>48.9</v>
      </c>
      <c r="M216" s="323">
        <f t="shared" si="58"/>
        <v>124.206</v>
      </c>
      <c r="N216" s="204">
        <f t="shared" si="59"/>
        <v>0</v>
      </c>
      <c r="O216" s="342">
        <v>-0.4</v>
      </c>
      <c r="P216" s="323">
        <f t="shared" si="60"/>
        <v>-1.016</v>
      </c>
      <c r="Q216" s="204">
        <f t="shared" si="61"/>
        <v>-18.0848</v>
      </c>
      <c r="R216" s="323">
        <f t="shared" si="62"/>
        <v>0</v>
      </c>
      <c r="V216" s="204"/>
    </row>
    <row r="217" spans="1:22" s="8" customFormat="1" ht="25.5" customHeight="1">
      <c r="A217" s="10">
        <v>4</v>
      </c>
      <c r="B217" s="203" t="s">
        <v>401</v>
      </c>
      <c r="C217" s="420" t="s">
        <v>402</v>
      </c>
      <c r="D217" s="337">
        <v>1</v>
      </c>
      <c r="E217" s="226">
        <v>224</v>
      </c>
      <c r="F217" s="323">
        <f t="shared" si="53"/>
        <v>224</v>
      </c>
      <c r="G217" s="339">
        <v>48.9</v>
      </c>
      <c r="H217" s="323">
        <f t="shared" si="54"/>
        <v>124.206</v>
      </c>
      <c r="I217" s="204">
        <f t="shared" si="55"/>
        <v>27822.144</v>
      </c>
      <c r="J217" s="340">
        <v>0</v>
      </c>
      <c r="K217" s="204">
        <f t="shared" si="56"/>
        <v>0</v>
      </c>
      <c r="L217" s="341">
        <f t="shared" si="57"/>
        <v>48.9</v>
      </c>
      <c r="M217" s="323">
        <f t="shared" si="58"/>
        <v>124.206</v>
      </c>
      <c r="N217" s="204">
        <f t="shared" si="59"/>
        <v>0</v>
      </c>
      <c r="O217" s="342">
        <v>-0.8</v>
      </c>
      <c r="P217" s="323">
        <f t="shared" si="60"/>
        <v>-2.032</v>
      </c>
      <c r="Q217" s="204">
        <f t="shared" si="61"/>
        <v>-455.168</v>
      </c>
      <c r="R217" s="323">
        <f t="shared" si="62"/>
        <v>0</v>
      </c>
      <c r="V217" s="204"/>
    </row>
    <row r="218" spans="1:22" s="8" customFormat="1" ht="16.5" customHeight="1">
      <c r="A218" s="10">
        <v>4</v>
      </c>
      <c r="B218" s="203" t="s">
        <v>403</v>
      </c>
      <c r="C218" s="413" t="s">
        <v>404</v>
      </c>
      <c r="D218" s="337">
        <v>1</v>
      </c>
      <c r="E218" s="226">
        <v>2</v>
      </c>
      <c r="F218" s="323">
        <f t="shared" si="53"/>
        <v>2</v>
      </c>
      <c r="G218" s="339">
        <v>48.9</v>
      </c>
      <c r="H218" s="323">
        <f t="shared" si="54"/>
        <v>124.206</v>
      </c>
      <c r="I218" s="204">
        <f t="shared" si="55"/>
        <v>248.412</v>
      </c>
      <c r="J218" s="340">
        <v>0</v>
      </c>
      <c r="K218" s="204">
        <f t="shared" si="56"/>
        <v>0</v>
      </c>
      <c r="L218" s="341">
        <f t="shared" si="57"/>
        <v>48.9</v>
      </c>
      <c r="M218" s="323">
        <f t="shared" si="58"/>
        <v>124.206</v>
      </c>
      <c r="N218" s="204">
        <f t="shared" si="59"/>
        <v>0</v>
      </c>
      <c r="O218" s="342">
        <v>-0.5</v>
      </c>
      <c r="P218" s="323">
        <f t="shared" si="60"/>
        <v>-1.27</v>
      </c>
      <c r="Q218" s="204">
        <f t="shared" si="61"/>
        <v>-2.54</v>
      </c>
      <c r="R218" s="323">
        <f t="shared" si="62"/>
        <v>0</v>
      </c>
      <c r="V218" s="204"/>
    </row>
    <row r="219" spans="1:22" s="8" customFormat="1" ht="16.5" customHeight="1">
      <c r="A219" s="10">
        <v>4</v>
      </c>
      <c r="B219" s="203" t="s">
        <v>405</v>
      </c>
      <c r="C219" s="413" t="s">
        <v>406</v>
      </c>
      <c r="D219" s="337">
        <v>1</v>
      </c>
      <c r="E219" s="226">
        <v>25.1</v>
      </c>
      <c r="F219" s="323">
        <f t="shared" si="53"/>
        <v>25.1</v>
      </c>
      <c r="G219" s="339">
        <v>48.9</v>
      </c>
      <c r="H219" s="323">
        <f t="shared" si="54"/>
        <v>124.206</v>
      </c>
      <c r="I219" s="204">
        <f t="shared" si="55"/>
        <v>3117.5706000000005</v>
      </c>
      <c r="J219" s="340">
        <v>0</v>
      </c>
      <c r="K219" s="204">
        <f t="shared" si="56"/>
        <v>0</v>
      </c>
      <c r="L219" s="341">
        <f t="shared" si="57"/>
        <v>48.9</v>
      </c>
      <c r="M219" s="323">
        <f t="shared" si="58"/>
        <v>124.206</v>
      </c>
      <c r="N219" s="204">
        <f t="shared" si="59"/>
        <v>0</v>
      </c>
      <c r="O219" s="342">
        <v>-0.9</v>
      </c>
      <c r="P219" s="323">
        <f t="shared" si="60"/>
        <v>-2.286</v>
      </c>
      <c r="Q219" s="204">
        <f t="shared" si="61"/>
        <v>-57.378600000000006</v>
      </c>
      <c r="R219" s="323">
        <f t="shared" si="62"/>
        <v>0</v>
      </c>
      <c r="V219" s="204"/>
    </row>
    <row r="220" spans="1:22" s="8" customFormat="1" ht="16.5" customHeight="1">
      <c r="A220" s="10">
        <v>4</v>
      </c>
      <c r="B220" s="203" t="s">
        <v>407</v>
      </c>
      <c r="C220" s="413" t="s">
        <v>408</v>
      </c>
      <c r="D220" s="337">
        <v>1</v>
      </c>
      <c r="E220" s="226">
        <v>14.4</v>
      </c>
      <c r="F220" s="323">
        <f t="shared" si="53"/>
        <v>14.4</v>
      </c>
      <c r="G220" s="339">
        <v>47</v>
      </c>
      <c r="H220" s="323">
        <f t="shared" si="54"/>
        <v>119.38</v>
      </c>
      <c r="I220" s="417">
        <f t="shared" si="55"/>
        <v>1719.072</v>
      </c>
      <c r="J220" s="298">
        <v>0</v>
      </c>
      <c r="K220" s="204">
        <f t="shared" si="56"/>
        <v>0</v>
      </c>
      <c r="L220" s="341">
        <f t="shared" si="57"/>
        <v>47</v>
      </c>
      <c r="M220" s="323">
        <f t="shared" si="58"/>
        <v>119.38</v>
      </c>
      <c r="N220" s="204"/>
      <c r="O220" s="342">
        <v>0</v>
      </c>
      <c r="P220" s="323">
        <f t="shared" si="60"/>
        <v>0</v>
      </c>
      <c r="Q220" s="204">
        <f t="shared" si="61"/>
        <v>0</v>
      </c>
      <c r="R220" s="323">
        <f t="shared" si="62"/>
        <v>0</v>
      </c>
      <c r="V220" s="204"/>
    </row>
    <row r="221" spans="1:22" s="8" customFormat="1" ht="16.5" customHeight="1">
      <c r="A221" s="10"/>
      <c r="B221" s="421"/>
      <c r="C221" s="10"/>
      <c r="D221" s="337"/>
      <c r="E221" s="226"/>
      <c r="F221" s="323"/>
      <c r="G221" s="339"/>
      <c r="H221" s="323"/>
      <c r="I221" s="204"/>
      <c r="J221" s="340"/>
      <c r="K221" s="204"/>
      <c r="L221" s="341"/>
      <c r="M221" s="323"/>
      <c r="N221" s="204"/>
      <c r="O221" s="342"/>
      <c r="P221" s="323"/>
      <c r="Q221" s="204"/>
      <c r="R221" s="323"/>
      <c r="V221" s="204"/>
    </row>
    <row r="222" spans="1:22" s="8" customFormat="1" ht="16.5" customHeight="1">
      <c r="A222" s="10">
        <v>3</v>
      </c>
      <c r="B222" s="412" t="s">
        <v>409</v>
      </c>
      <c r="C222" s="422">
        <v>52346</v>
      </c>
      <c r="D222" s="346"/>
      <c r="E222" s="226"/>
      <c r="F222" s="323"/>
      <c r="G222" s="339"/>
      <c r="H222" s="323"/>
      <c r="I222" s="204"/>
      <c r="J222" s="340"/>
      <c r="K222" s="204"/>
      <c r="L222" s="341"/>
      <c r="M222" s="323"/>
      <c r="N222" s="204"/>
      <c r="O222" s="342"/>
      <c r="P222" s="323"/>
      <c r="Q222" s="204"/>
      <c r="R222" s="323"/>
      <c r="V222" s="204"/>
    </row>
    <row r="223" spans="1:22" s="8" customFormat="1" ht="16.5" customHeight="1">
      <c r="A223" s="10"/>
      <c r="B223" s="207" t="s">
        <v>248</v>
      </c>
      <c r="C223" s="323">
        <f>(SUM(F226:F243))-F227+E227</f>
        <v>1150.6000000000001</v>
      </c>
      <c r="D223" s="346" t="s">
        <v>177</v>
      </c>
      <c r="E223" s="367" t="s">
        <v>183</v>
      </c>
      <c r="F223" s="323"/>
      <c r="G223" s="339"/>
      <c r="H223" s="323"/>
      <c r="I223" s="204"/>
      <c r="J223" s="340"/>
      <c r="K223" s="204"/>
      <c r="L223" s="341"/>
      <c r="M223" s="323"/>
      <c r="N223" s="204"/>
      <c r="O223" s="342"/>
      <c r="P223" s="323"/>
      <c r="Q223" s="204"/>
      <c r="R223" s="323"/>
      <c r="V223" s="204"/>
    </row>
    <row r="224" spans="1:22" s="8" customFormat="1" ht="16.5" customHeight="1">
      <c r="A224" s="10"/>
      <c r="B224" s="207" t="s">
        <v>237</v>
      </c>
      <c r="C224" s="226">
        <v>1154.7</v>
      </c>
      <c r="D224" s="346" t="s">
        <v>177</v>
      </c>
      <c r="E224" s="377">
        <f>C224-C223</f>
        <v>4.099999999999909</v>
      </c>
      <c r="F224" s="323"/>
      <c r="G224" s="339"/>
      <c r="H224" s="323"/>
      <c r="I224" s="204"/>
      <c r="J224" s="340"/>
      <c r="K224" s="204"/>
      <c r="L224" s="341"/>
      <c r="M224" s="323"/>
      <c r="N224" s="204"/>
      <c r="O224" s="342"/>
      <c r="P224" s="323"/>
      <c r="Q224" s="204"/>
      <c r="R224" s="323"/>
      <c r="V224" s="204"/>
    </row>
    <row r="226" spans="1:22" s="8" customFormat="1" ht="16.5" customHeight="1">
      <c r="A226" s="10">
        <v>4</v>
      </c>
      <c r="B226" s="203" t="s">
        <v>410</v>
      </c>
      <c r="C226" s="413">
        <v>49811</v>
      </c>
      <c r="D226" s="337">
        <v>1</v>
      </c>
      <c r="E226" s="226">
        <v>137</v>
      </c>
      <c r="F226" s="323">
        <f>E226*D226</f>
        <v>137</v>
      </c>
      <c r="G226" s="339">
        <v>45</v>
      </c>
      <c r="H226" s="323">
        <f aca="true" t="shared" si="63" ref="H226:H243">G226*2.54</f>
        <v>114.3</v>
      </c>
      <c r="I226" s="204">
        <f aca="true" t="shared" si="64" ref="I226:I243">F226*H226</f>
        <v>15659.1</v>
      </c>
      <c r="J226" s="340">
        <v>0</v>
      </c>
      <c r="K226" s="204">
        <f aca="true" t="shared" si="65" ref="K226:K243">J226*D226</f>
        <v>0</v>
      </c>
      <c r="L226" s="341">
        <f aca="true" t="shared" si="66" ref="L226:L243">G226</f>
        <v>45</v>
      </c>
      <c r="M226" s="323">
        <f aca="true" t="shared" si="67" ref="M226:M243">L226*2.54</f>
        <v>114.3</v>
      </c>
      <c r="N226" s="204">
        <f aca="true" t="shared" si="68" ref="N226:N243">K226*M226</f>
        <v>0</v>
      </c>
      <c r="O226" s="342">
        <v>0</v>
      </c>
      <c r="P226" s="323">
        <f aca="true" t="shared" si="69" ref="P226:P243">O226*2.54</f>
        <v>0</v>
      </c>
      <c r="Q226" s="204">
        <f aca="true" t="shared" si="70" ref="Q226:Q243">F226*P226</f>
        <v>0</v>
      </c>
      <c r="R226" s="323">
        <f aca="true" t="shared" si="71" ref="R226:R243">K226*P226</f>
        <v>0</v>
      </c>
      <c r="V226" s="204"/>
    </row>
    <row r="227" spans="1:22" s="8" customFormat="1" ht="16.5" customHeight="1">
      <c r="A227" s="10">
        <v>4</v>
      </c>
      <c r="B227" s="203" t="s">
        <v>411</v>
      </c>
      <c r="C227" s="413" t="s">
        <v>412</v>
      </c>
      <c r="D227" s="337">
        <v>1</v>
      </c>
      <c r="E227" s="226">
        <v>92</v>
      </c>
      <c r="F227" s="323">
        <f>E227*D227+(C19*Cal!D45*Oil_density)</f>
        <v>571.4740278753536</v>
      </c>
      <c r="G227" s="339">
        <f>45+0.5*1.8*C19</f>
        <v>45.5832</v>
      </c>
      <c r="H227" s="323">
        <f t="shared" si="63"/>
        <v>115.781328</v>
      </c>
      <c r="I227" s="204">
        <f t="shared" si="64"/>
        <v>66166.02186491746</v>
      </c>
      <c r="J227" s="340">
        <v>0</v>
      </c>
      <c r="K227" s="204">
        <f t="shared" si="65"/>
        <v>0</v>
      </c>
      <c r="L227" s="341">
        <f t="shared" si="66"/>
        <v>45.5832</v>
      </c>
      <c r="M227" s="323">
        <f t="shared" si="67"/>
        <v>115.781328</v>
      </c>
      <c r="N227" s="204">
        <f t="shared" si="68"/>
        <v>0</v>
      </c>
      <c r="O227" s="342">
        <v>0</v>
      </c>
      <c r="P227" s="323">
        <f t="shared" si="69"/>
        <v>0</v>
      </c>
      <c r="Q227" s="204">
        <f t="shared" si="70"/>
        <v>0</v>
      </c>
      <c r="R227" s="323">
        <f t="shared" si="71"/>
        <v>0</v>
      </c>
      <c r="V227" s="204"/>
    </row>
    <row r="228" spans="1:22" s="8" customFormat="1" ht="16.5" customHeight="1">
      <c r="A228" s="10">
        <v>4</v>
      </c>
      <c r="B228" s="203" t="s">
        <v>413</v>
      </c>
      <c r="C228" s="413" t="s">
        <v>414</v>
      </c>
      <c r="D228" s="337">
        <v>1</v>
      </c>
      <c r="E228" s="226">
        <v>16.6</v>
      </c>
      <c r="F228" s="323">
        <f aca="true" t="shared" si="72" ref="F228:F243">E228*D228</f>
        <v>16.6</v>
      </c>
      <c r="G228" s="339">
        <v>45</v>
      </c>
      <c r="H228" s="323">
        <f t="shared" si="63"/>
        <v>114.3</v>
      </c>
      <c r="I228" s="204">
        <f t="shared" si="64"/>
        <v>1897.38</v>
      </c>
      <c r="J228" s="340">
        <v>0</v>
      </c>
      <c r="K228" s="204">
        <f t="shared" si="65"/>
        <v>0</v>
      </c>
      <c r="L228" s="341">
        <f t="shared" si="66"/>
        <v>45</v>
      </c>
      <c r="M228" s="323">
        <f t="shared" si="67"/>
        <v>114.3</v>
      </c>
      <c r="N228" s="204">
        <f t="shared" si="68"/>
        <v>0</v>
      </c>
      <c r="O228" s="342">
        <v>0</v>
      </c>
      <c r="P228" s="323">
        <f t="shared" si="69"/>
        <v>0</v>
      </c>
      <c r="Q228" s="204">
        <f t="shared" si="70"/>
        <v>0</v>
      </c>
      <c r="R228" s="323">
        <f t="shared" si="71"/>
        <v>0</v>
      </c>
      <c r="V228" s="204"/>
    </row>
    <row r="229" spans="1:22" s="8" customFormat="1" ht="16.5" customHeight="1">
      <c r="A229" s="10">
        <v>4</v>
      </c>
      <c r="B229" s="203" t="s">
        <v>415</v>
      </c>
      <c r="C229" s="413">
        <v>49813</v>
      </c>
      <c r="D229" s="337">
        <v>1</v>
      </c>
      <c r="E229" s="226">
        <v>323.3</v>
      </c>
      <c r="F229" s="323">
        <f t="shared" si="72"/>
        <v>323.3</v>
      </c>
      <c r="G229" s="339">
        <v>43.9</v>
      </c>
      <c r="H229" s="323">
        <f t="shared" si="63"/>
        <v>111.506</v>
      </c>
      <c r="I229" s="204">
        <f t="shared" si="64"/>
        <v>36049.889800000004</v>
      </c>
      <c r="J229" s="340">
        <v>0</v>
      </c>
      <c r="K229" s="204">
        <f t="shared" si="65"/>
        <v>0</v>
      </c>
      <c r="L229" s="341">
        <f t="shared" si="66"/>
        <v>43.9</v>
      </c>
      <c r="M229" s="323">
        <f t="shared" si="67"/>
        <v>111.506</v>
      </c>
      <c r="N229" s="204">
        <f t="shared" si="68"/>
        <v>0</v>
      </c>
      <c r="O229" s="342">
        <v>0</v>
      </c>
      <c r="P229" s="323">
        <f t="shared" si="69"/>
        <v>0</v>
      </c>
      <c r="Q229" s="204">
        <f t="shared" si="70"/>
        <v>0</v>
      </c>
      <c r="R229" s="323">
        <f t="shared" si="71"/>
        <v>0</v>
      </c>
      <c r="V229" s="204"/>
    </row>
    <row r="230" spans="1:22" s="8" customFormat="1" ht="33.75" customHeight="1">
      <c r="A230" s="10">
        <v>4</v>
      </c>
      <c r="B230" s="415" t="s">
        <v>416</v>
      </c>
      <c r="C230" s="413" t="s">
        <v>417</v>
      </c>
      <c r="D230" s="337">
        <v>1</v>
      </c>
      <c r="E230" s="226">
        <v>23.7</v>
      </c>
      <c r="F230" s="323">
        <f t="shared" si="72"/>
        <v>23.7</v>
      </c>
      <c r="G230" s="339">
        <v>43.24</v>
      </c>
      <c r="H230" s="323">
        <f t="shared" si="63"/>
        <v>109.82960000000001</v>
      </c>
      <c r="I230" s="204">
        <f t="shared" si="64"/>
        <v>2602.9615200000003</v>
      </c>
      <c r="J230" s="340">
        <v>0</v>
      </c>
      <c r="K230" s="204">
        <f t="shared" si="65"/>
        <v>0</v>
      </c>
      <c r="L230" s="341">
        <f t="shared" si="66"/>
        <v>43.24</v>
      </c>
      <c r="M230" s="323">
        <f t="shared" si="67"/>
        <v>109.82960000000001</v>
      </c>
      <c r="N230" s="204">
        <f t="shared" si="68"/>
        <v>0</v>
      </c>
      <c r="O230" s="342">
        <v>-2.39</v>
      </c>
      <c r="P230" s="323">
        <f t="shared" si="69"/>
        <v>-6.070600000000001</v>
      </c>
      <c r="Q230" s="204">
        <f t="shared" si="70"/>
        <v>-143.87322</v>
      </c>
      <c r="R230" s="323">
        <f t="shared" si="71"/>
        <v>0</v>
      </c>
      <c r="V230" s="204"/>
    </row>
    <row r="231" spans="1:22" s="8" customFormat="1" ht="16.5" customHeight="1">
      <c r="A231" s="10">
        <v>4</v>
      </c>
      <c r="B231" s="203" t="s">
        <v>418</v>
      </c>
      <c r="C231" s="413" t="s">
        <v>419</v>
      </c>
      <c r="D231" s="337">
        <v>1</v>
      </c>
      <c r="E231" s="226">
        <v>26.8</v>
      </c>
      <c r="F231" s="323">
        <f t="shared" si="72"/>
        <v>26.8</v>
      </c>
      <c r="G231" s="339">
        <v>43.24</v>
      </c>
      <c r="H231" s="323">
        <f t="shared" si="63"/>
        <v>109.82960000000001</v>
      </c>
      <c r="I231" s="204">
        <f t="shared" si="64"/>
        <v>2943.4332800000007</v>
      </c>
      <c r="J231" s="340">
        <v>0</v>
      </c>
      <c r="K231" s="204">
        <f t="shared" si="65"/>
        <v>0</v>
      </c>
      <c r="L231" s="341">
        <f t="shared" si="66"/>
        <v>43.24</v>
      </c>
      <c r="M231" s="323">
        <f t="shared" si="67"/>
        <v>109.82960000000001</v>
      </c>
      <c r="N231" s="204">
        <f t="shared" si="68"/>
        <v>0</v>
      </c>
      <c r="O231" s="342">
        <v>2.39</v>
      </c>
      <c r="P231" s="323">
        <f t="shared" si="69"/>
        <v>6.070600000000001</v>
      </c>
      <c r="Q231" s="204">
        <f t="shared" si="70"/>
        <v>162.69208000000003</v>
      </c>
      <c r="R231" s="323">
        <f t="shared" si="71"/>
        <v>0</v>
      </c>
      <c r="V231" s="204"/>
    </row>
    <row r="232" spans="1:22" s="8" customFormat="1" ht="16.5" customHeight="1">
      <c r="A232" s="10">
        <v>4</v>
      </c>
      <c r="B232" s="203" t="s">
        <v>420</v>
      </c>
      <c r="C232" s="413" t="s">
        <v>421</v>
      </c>
      <c r="D232" s="337">
        <v>1</v>
      </c>
      <c r="E232" s="226">
        <v>25.8</v>
      </c>
      <c r="F232" s="323">
        <f t="shared" si="72"/>
        <v>25.8</v>
      </c>
      <c r="G232" s="339">
        <v>43.24</v>
      </c>
      <c r="H232" s="323">
        <f t="shared" si="63"/>
        <v>109.82960000000001</v>
      </c>
      <c r="I232" s="204">
        <f t="shared" si="64"/>
        <v>2833.6036800000006</v>
      </c>
      <c r="J232" s="340">
        <v>0</v>
      </c>
      <c r="K232" s="204">
        <f t="shared" si="65"/>
        <v>0</v>
      </c>
      <c r="L232" s="341">
        <f t="shared" si="66"/>
        <v>43.24</v>
      </c>
      <c r="M232" s="323">
        <f t="shared" si="67"/>
        <v>109.82960000000001</v>
      </c>
      <c r="N232" s="204">
        <f t="shared" si="68"/>
        <v>0</v>
      </c>
      <c r="O232" s="342">
        <v>0.8</v>
      </c>
      <c r="P232" s="323">
        <f t="shared" si="69"/>
        <v>2.032</v>
      </c>
      <c r="Q232" s="204">
        <f t="shared" si="70"/>
        <v>52.4256</v>
      </c>
      <c r="R232" s="323">
        <f t="shared" si="71"/>
        <v>0</v>
      </c>
      <c r="V232" s="204"/>
    </row>
    <row r="233" spans="1:22" s="8" customFormat="1" ht="16.5" customHeight="1">
      <c r="A233" s="10">
        <v>4</v>
      </c>
      <c r="B233" s="203" t="s">
        <v>422</v>
      </c>
      <c r="C233" s="413" t="s">
        <v>423</v>
      </c>
      <c r="D233" s="337">
        <v>1</v>
      </c>
      <c r="E233" s="226">
        <v>11</v>
      </c>
      <c r="F233" s="323">
        <f t="shared" si="72"/>
        <v>11</v>
      </c>
      <c r="G233" s="339">
        <v>43.24</v>
      </c>
      <c r="H233" s="323">
        <f t="shared" si="63"/>
        <v>109.82960000000001</v>
      </c>
      <c r="I233" s="204">
        <f t="shared" si="64"/>
        <v>1208.1256</v>
      </c>
      <c r="J233" s="340">
        <v>0</v>
      </c>
      <c r="K233" s="204">
        <f t="shared" si="65"/>
        <v>0</v>
      </c>
      <c r="L233" s="341">
        <f t="shared" si="66"/>
        <v>43.24</v>
      </c>
      <c r="M233" s="323">
        <f t="shared" si="67"/>
        <v>109.82960000000001</v>
      </c>
      <c r="N233" s="204">
        <f t="shared" si="68"/>
        <v>0</v>
      </c>
      <c r="O233" s="342">
        <v>-0.1</v>
      </c>
      <c r="P233" s="323">
        <f t="shared" si="69"/>
        <v>-0.254</v>
      </c>
      <c r="Q233" s="204">
        <f t="shared" si="70"/>
        <v>-2.794</v>
      </c>
      <c r="R233" s="323">
        <f t="shared" si="71"/>
        <v>0</v>
      </c>
      <c r="V233" s="204"/>
    </row>
    <row r="234" spans="1:22" s="8" customFormat="1" ht="16.5" customHeight="1">
      <c r="A234" s="10">
        <v>4</v>
      </c>
      <c r="B234" s="203" t="s">
        <v>424</v>
      </c>
      <c r="C234" s="413" t="s">
        <v>425</v>
      </c>
      <c r="D234" s="337">
        <v>1</v>
      </c>
      <c r="E234" s="226">
        <v>1.8</v>
      </c>
      <c r="F234" s="323">
        <f t="shared" si="72"/>
        <v>1.8</v>
      </c>
      <c r="G234" s="339">
        <v>43.24</v>
      </c>
      <c r="H234" s="323">
        <f t="shared" si="63"/>
        <v>109.82960000000001</v>
      </c>
      <c r="I234" s="204">
        <f t="shared" si="64"/>
        <v>197.69328000000002</v>
      </c>
      <c r="J234" s="340">
        <v>0</v>
      </c>
      <c r="K234" s="204">
        <f t="shared" si="65"/>
        <v>0</v>
      </c>
      <c r="L234" s="341">
        <f t="shared" si="66"/>
        <v>43.24</v>
      </c>
      <c r="M234" s="323">
        <f t="shared" si="67"/>
        <v>109.82960000000001</v>
      </c>
      <c r="N234" s="204">
        <f t="shared" si="68"/>
        <v>0</v>
      </c>
      <c r="O234" s="342">
        <v>3</v>
      </c>
      <c r="P234" s="323">
        <f t="shared" si="69"/>
        <v>7.62</v>
      </c>
      <c r="Q234" s="204">
        <f t="shared" si="70"/>
        <v>13.716000000000001</v>
      </c>
      <c r="R234" s="323">
        <f t="shared" si="71"/>
        <v>0</v>
      </c>
      <c r="V234" s="204"/>
    </row>
    <row r="235" spans="1:22" s="8" customFormat="1" ht="16.5" customHeight="1">
      <c r="A235" s="10">
        <v>4</v>
      </c>
      <c r="B235" s="203" t="s">
        <v>426</v>
      </c>
      <c r="C235" s="413">
        <v>49812</v>
      </c>
      <c r="D235" s="337">
        <v>1</v>
      </c>
      <c r="E235" s="226">
        <v>430.5</v>
      </c>
      <c r="F235" s="323">
        <f t="shared" si="72"/>
        <v>430.5</v>
      </c>
      <c r="G235" s="339">
        <v>45.3</v>
      </c>
      <c r="H235" s="323">
        <f t="shared" si="63"/>
        <v>115.062</v>
      </c>
      <c r="I235" s="204">
        <f t="shared" si="64"/>
        <v>49534.191</v>
      </c>
      <c r="J235" s="340">
        <v>0</v>
      </c>
      <c r="K235" s="204">
        <f t="shared" si="65"/>
        <v>0</v>
      </c>
      <c r="L235" s="341">
        <f t="shared" si="66"/>
        <v>45.3</v>
      </c>
      <c r="M235" s="323">
        <f t="shared" si="67"/>
        <v>115.062</v>
      </c>
      <c r="N235" s="204">
        <f t="shared" si="68"/>
        <v>0</v>
      </c>
      <c r="O235" s="342">
        <v>0</v>
      </c>
      <c r="P235" s="323">
        <f t="shared" si="69"/>
        <v>0</v>
      </c>
      <c r="Q235" s="204">
        <f t="shared" si="70"/>
        <v>0</v>
      </c>
      <c r="R235" s="323">
        <f t="shared" si="71"/>
        <v>0</v>
      </c>
      <c r="V235" s="204"/>
    </row>
    <row r="236" spans="1:22" s="8" customFormat="1" ht="16.5" customHeight="1">
      <c r="A236" s="10">
        <v>4</v>
      </c>
      <c r="B236" s="203" t="s">
        <v>878</v>
      </c>
      <c r="C236" s="413" t="s">
        <v>427</v>
      </c>
      <c r="D236" s="337">
        <v>1</v>
      </c>
      <c r="E236" s="226">
        <v>7.4</v>
      </c>
      <c r="F236" s="323">
        <f t="shared" si="72"/>
        <v>7.4</v>
      </c>
      <c r="G236" s="339">
        <v>43.56</v>
      </c>
      <c r="H236" s="323">
        <f t="shared" si="63"/>
        <v>110.64240000000001</v>
      </c>
      <c r="I236" s="204">
        <f t="shared" si="64"/>
        <v>818.75376</v>
      </c>
      <c r="J236" s="340">
        <v>0</v>
      </c>
      <c r="K236" s="204">
        <f t="shared" si="65"/>
        <v>0</v>
      </c>
      <c r="L236" s="341">
        <f t="shared" si="66"/>
        <v>43.56</v>
      </c>
      <c r="M236" s="323">
        <f t="shared" si="67"/>
        <v>110.64240000000001</v>
      </c>
      <c r="N236" s="204">
        <f t="shared" si="68"/>
        <v>0</v>
      </c>
      <c r="O236" s="342">
        <v>0</v>
      </c>
      <c r="P236" s="323">
        <f t="shared" si="69"/>
        <v>0</v>
      </c>
      <c r="Q236" s="204">
        <f t="shared" si="70"/>
        <v>0</v>
      </c>
      <c r="R236" s="323">
        <f t="shared" si="71"/>
        <v>0</v>
      </c>
      <c r="V236" s="204"/>
    </row>
    <row r="237" spans="1:22" s="8" customFormat="1" ht="16.5" customHeight="1">
      <c r="A237" s="10">
        <v>4</v>
      </c>
      <c r="B237" s="203" t="s">
        <v>428</v>
      </c>
      <c r="C237" s="413" t="s">
        <v>429</v>
      </c>
      <c r="D237" s="337">
        <v>1</v>
      </c>
      <c r="E237" s="226">
        <v>12.2</v>
      </c>
      <c r="F237" s="323">
        <f t="shared" si="72"/>
        <v>12.2</v>
      </c>
      <c r="G237" s="339">
        <v>47.75</v>
      </c>
      <c r="H237" s="323">
        <f t="shared" si="63"/>
        <v>121.285</v>
      </c>
      <c r="I237" s="204">
        <f t="shared" si="64"/>
        <v>1479.677</v>
      </c>
      <c r="J237" s="340">
        <v>0</v>
      </c>
      <c r="K237" s="204">
        <f t="shared" si="65"/>
        <v>0</v>
      </c>
      <c r="L237" s="341">
        <f t="shared" si="66"/>
        <v>47.75</v>
      </c>
      <c r="M237" s="323">
        <f t="shared" si="67"/>
        <v>121.285</v>
      </c>
      <c r="N237" s="204">
        <f t="shared" si="68"/>
        <v>0</v>
      </c>
      <c r="O237" s="342">
        <v>2.6</v>
      </c>
      <c r="P237" s="323">
        <f t="shared" si="69"/>
        <v>6.604</v>
      </c>
      <c r="Q237" s="204">
        <f t="shared" si="70"/>
        <v>80.5688</v>
      </c>
      <c r="R237" s="323">
        <f t="shared" si="71"/>
        <v>0</v>
      </c>
      <c r="V237" s="204"/>
    </row>
    <row r="238" spans="1:22" s="8" customFormat="1" ht="16.5" customHeight="1">
      <c r="A238" s="10">
        <v>4</v>
      </c>
      <c r="B238" s="203" t="s">
        <v>430</v>
      </c>
      <c r="C238" s="413" t="s">
        <v>429</v>
      </c>
      <c r="D238" s="337">
        <v>1</v>
      </c>
      <c r="E238" s="226">
        <v>12.4</v>
      </c>
      <c r="F238" s="323">
        <f t="shared" si="72"/>
        <v>12.4</v>
      </c>
      <c r="G238" s="339">
        <v>47.75</v>
      </c>
      <c r="H238" s="323">
        <f t="shared" si="63"/>
        <v>121.285</v>
      </c>
      <c r="I238" s="204">
        <f t="shared" si="64"/>
        <v>1503.934</v>
      </c>
      <c r="J238" s="340">
        <v>0</v>
      </c>
      <c r="K238" s="204">
        <f t="shared" si="65"/>
        <v>0</v>
      </c>
      <c r="L238" s="341">
        <f t="shared" si="66"/>
        <v>47.75</v>
      </c>
      <c r="M238" s="323">
        <f t="shared" si="67"/>
        <v>121.285</v>
      </c>
      <c r="N238" s="204">
        <f t="shared" si="68"/>
        <v>0</v>
      </c>
      <c r="O238" s="342">
        <v>-2.6</v>
      </c>
      <c r="P238" s="323">
        <f t="shared" si="69"/>
        <v>-6.604</v>
      </c>
      <c r="Q238" s="204">
        <f t="shared" si="70"/>
        <v>-81.8896</v>
      </c>
      <c r="R238" s="323">
        <f t="shared" si="71"/>
        <v>0</v>
      </c>
      <c r="V238" s="204"/>
    </row>
    <row r="239" spans="1:22" s="8" customFormat="1" ht="16.5" customHeight="1">
      <c r="A239" s="10">
        <v>4</v>
      </c>
      <c r="B239" s="203" t="s">
        <v>431</v>
      </c>
      <c r="C239" s="413" t="s">
        <v>432</v>
      </c>
      <c r="D239" s="337">
        <v>1</v>
      </c>
      <c r="E239" s="226">
        <v>4.1</v>
      </c>
      <c r="F239" s="323">
        <f t="shared" si="72"/>
        <v>4.1</v>
      </c>
      <c r="G239" s="339">
        <v>47.5</v>
      </c>
      <c r="H239" s="323">
        <f t="shared" si="63"/>
        <v>120.65</v>
      </c>
      <c r="I239" s="204">
        <f t="shared" si="64"/>
        <v>494.66499999999996</v>
      </c>
      <c r="J239" s="340">
        <v>0</v>
      </c>
      <c r="K239" s="204">
        <f t="shared" si="65"/>
        <v>0</v>
      </c>
      <c r="L239" s="341">
        <f t="shared" si="66"/>
        <v>47.5</v>
      </c>
      <c r="M239" s="323">
        <f t="shared" si="67"/>
        <v>120.65</v>
      </c>
      <c r="N239" s="204">
        <f t="shared" si="68"/>
        <v>0</v>
      </c>
      <c r="O239" s="342">
        <v>0</v>
      </c>
      <c r="P239" s="323">
        <f t="shared" si="69"/>
        <v>0</v>
      </c>
      <c r="Q239" s="204">
        <f t="shared" si="70"/>
        <v>0</v>
      </c>
      <c r="R239" s="323">
        <f t="shared" si="71"/>
        <v>0</v>
      </c>
      <c r="V239" s="204"/>
    </row>
    <row r="240" spans="1:22" s="8" customFormat="1" ht="16.5" customHeight="1">
      <c r="A240" s="10">
        <v>4</v>
      </c>
      <c r="B240" s="203" t="s">
        <v>433</v>
      </c>
      <c r="C240" s="10" t="s">
        <v>434</v>
      </c>
      <c r="D240" s="337">
        <v>1</v>
      </c>
      <c r="E240" s="226">
        <v>5</v>
      </c>
      <c r="F240" s="323">
        <f t="shared" si="72"/>
        <v>5</v>
      </c>
      <c r="G240" s="339">
        <v>45.5</v>
      </c>
      <c r="H240" s="323">
        <f t="shared" si="63"/>
        <v>115.57000000000001</v>
      </c>
      <c r="I240" s="204">
        <f t="shared" si="64"/>
        <v>577.85</v>
      </c>
      <c r="J240" s="340">
        <v>0</v>
      </c>
      <c r="K240" s="204">
        <f t="shared" si="65"/>
        <v>0</v>
      </c>
      <c r="L240" s="341">
        <f t="shared" si="66"/>
        <v>45.5</v>
      </c>
      <c r="M240" s="323">
        <f t="shared" si="67"/>
        <v>115.57000000000001</v>
      </c>
      <c r="N240" s="204">
        <f t="shared" si="68"/>
        <v>0</v>
      </c>
      <c r="O240" s="342">
        <v>3.2</v>
      </c>
      <c r="P240" s="323">
        <f t="shared" si="69"/>
        <v>8.128</v>
      </c>
      <c r="Q240" s="204">
        <f t="shared" si="70"/>
        <v>40.64</v>
      </c>
      <c r="R240" s="323">
        <f t="shared" si="71"/>
        <v>0</v>
      </c>
      <c r="V240" s="204"/>
    </row>
    <row r="241" spans="1:22" s="8" customFormat="1" ht="16.5" customHeight="1">
      <c r="A241" s="10">
        <v>4</v>
      </c>
      <c r="B241" s="203" t="s">
        <v>435</v>
      </c>
      <c r="C241" s="10" t="s">
        <v>436</v>
      </c>
      <c r="D241" s="337">
        <v>1</v>
      </c>
      <c r="E241" s="226">
        <v>7</v>
      </c>
      <c r="F241" s="323">
        <f t="shared" si="72"/>
        <v>7</v>
      </c>
      <c r="G241" s="339">
        <v>45.5</v>
      </c>
      <c r="H241" s="323">
        <f t="shared" si="63"/>
        <v>115.57000000000001</v>
      </c>
      <c r="I241" s="204">
        <f t="shared" si="64"/>
        <v>808.99</v>
      </c>
      <c r="J241" s="340">
        <v>0</v>
      </c>
      <c r="K241" s="204">
        <f t="shared" si="65"/>
        <v>0</v>
      </c>
      <c r="L241" s="341">
        <f t="shared" si="66"/>
        <v>45.5</v>
      </c>
      <c r="M241" s="323">
        <f t="shared" si="67"/>
        <v>115.57000000000001</v>
      </c>
      <c r="N241" s="204">
        <f t="shared" si="68"/>
        <v>0</v>
      </c>
      <c r="O241" s="342">
        <v>1.5</v>
      </c>
      <c r="P241" s="323">
        <f t="shared" si="69"/>
        <v>3.81</v>
      </c>
      <c r="Q241" s="204">
        <f t="shared" si="70"/>
        <v>26.67</v>
      </c>
      <c r="R241" s="323">
        <f t="shared" si="71"/>
        <v>0</v>
      </c>
      <c r="V241" s="204"/>
    </row>
    <row r="242" spans="1:22" s="8" customFormat="1" ht="16.5" customHeight="1">
      <c r="A242" s="10">
        <v>4</v>
      </c>
      <c r="B242" s="203" t="s">
        <v>437</v>
      </c>
      <c r="C242" s="10" t="s">
        <v>436</v>
      </c>
      <c r="D242" s="337">
        <v>1</v>
      </c>
      <c r="E242" s="226">
        <v>7</v>
      </c>
      <c r="F242" s="323">
        <f t="shared" si="72"/>
        <v>7</v>
      </c>
      <c r="G242" s="339">
        <v>45.5</v>
      </c>
      <c r="H242" s="323">
        <f t="shared" si="63"/>
        <v>115.57000000000001</v>
      </c>
      <c r="I242" s="204">
        <f t="shared" si="64"/>
        <v>808.99</v>
      </c>
      <c r="J242" s="340">
        <v>0</v>
      </c>
      <c r="K242" s="204">
        <f t="shared" si="65"/>
        <v>0</v>
      </c>
      <c r="L242" s="341">
        <f t="shared" si="66"/>
        <v>45.5</v>
      </c>
      <c r="M242" s="323">
        <f t="shared" si="67"/>
        <v>115.57000000000001</v>
      </c>
      <c r="N242" s="204">
        <f t="shared" si="68"/>
        <v>0</v>
      </c>
      <c r="O242" s="342">
        <v>-1.5</v>
      </c>
      <c r="P242" s="323">
        <f t="shared" si="69"/>
        <v>-3.81</v>
      </c>
      <c r="Q242" s="204">
        <f t="shared" si="70"/>
        <v>-26.67</v>
      </c>
      <c r="R242" s="323">
        <f t="shared" si="71"/>
        <v>0</v>
      </c>
      <c r="V242" s="204"/>
    </row>
    <row r="243" spans="1:22" s="8" customFormat="1" ht="33.75" customHeight="1">
      <c r="A243" s="10">
        <v>4</v>
      </c>
      <c r="B243" s="415" t="s">
        <v>438</v>
      </c>
      <c r="C243" s="10" t="s">
        <v>436</v>
      </c>
      <c r="D243" s="337">
        <v>1</v>
      </c>
      <c r="E243" s="226">
        <v>7</v>
      </c>
      <c r="F243" s="323">
        <f t="shared" si="72"/>
        <v>7</v>
      </c>
      <c r="G243" s="339">
        <v>45.5</v>
      </c>
      <c r="H243" s="323">
        <f t="shared" si="63"/>
        <v>115.57000000000001</v>
      </c>
      <c r="I243" s="204">
        <f t="shared" si="64"/>
        <v>808.99</v>
      </c>
      <c r="J243" s="340">
        <v>0</v>
      </c>
      <c r="K243" s="204">
        <f t="shared" si="65"/>
        <v>0</v>
      </c>
      <c r="L243" s="341">
        <f t="shared" si="66"/>
        <v>45.5</v>
      </c>
      <c r="M243" s="323">
        <f t="shared" si="67"/>
        <v>115.57000000000001</v>
      </c>
      <c r="N243" s="204">
        <f t="shared" si="68"/>
        <v>0</v>
      </c>
      <c r="O243" s="342">
        <v>-3.2</v>
      </c>
      <c r="P243" s="323">
        <f t="shared" si="69"/>
        <v>-8.128</v>
      </c>
      <c r="Q243" s="204">
        <f t="shared" si="70"/>
        <v>-56.896</v>
      </c>
      <c r="R243" s="323">
        <f t="shared" si="71"/>
        <v>0</v>
      </c>
      <c r="V243" s="204"/>
    </row>
    <row r="244" ht="16.5" customHeight="1">
      <c r="B244" s="253" t="s">
        <v>439</v>
      </c>
    </row>
    <row r="245" spans="1:22" s="8" customFormat="1" ht="33.75" customHeight="1">
      <c r="A245" s="10">
        <v>3</v>
      </c>
      <c r="B245" s="415" t="s">
        <v>440</v>
      </c>
      <c r="C245" s="423" t="s">
        <v>441</v>
      </c>
      <c r="D245" s="337">
        <v>1</v>
      </c>
      <c r="E245" s="226">
        <v>39.9</v>
      </c>
      <c r="F245" s="323">
        <f>E245*D245</f>
        <v>39.9</v>
      </c>
      <c r="G245" s="339">
        <v>47.75</v>
      </c>
      <c r="H245" s="323">
        <f>G245*2.54</f>
        <v>121.285</v>
      </c>
      <c r="I245" s="204">
        <f>F245*H245</f>
        <v>4839.2715</v>
      </c>
      <c r="J245" s="340">
        <v>0</v>
      </c>
      <c r="K245" s="204">
        <f>J245*D245</f>
        <v>0</v>
      </c>
      <c r="L245" s="341">
        <f>G245</f>
        <v>47.75</v>
      </c>
      <c r="M245" s="323">
        <f>L245*2.54</f>
        <v>121.285</v>
      </c>
      <c r="N245" s="204">
        <f>K245*M245</f>
        <v>0</v>
      </c>
      <c r="O245" s="342">
        <v>2.5</v>
      </c>
      <c r="P245" s="323">
        <f>O245*2.54</f>
        <v>6.35</v>
      </c>
      <c r="Q245" s="204">
        <f>F245*P245</f>
        <v>253.36499999999998</v>
      </c>
      <c r="R245" s="323">
        <f>K245*P245</f>
        <v>0</v>
      </c>
      <c r="V245" s="204"/>
    </row>
    <row r="246" spans="1:22" s="8" customFormat="1" ht="33.75" customHeight="1">
      <c r="A246" s="10">
        <v>3</v>
      </c>
      <c r="B246" s="415" t="s">
        <v>442</v>
      </c>
      <c r="C246" s="423" t="s">
        <v>443</v>
      </c>
      <c r="D246" s="337">
        <v>1</v>
      </c>
      <c r="E246" s="226">
        <v>38</v>
      </c>
      <c r="F246" s="323">
        <f>E246*D246</f>
        <v>38</v>
      </c>
      <c r="G246" s="339">
        <v>47.75</v>
      </c>
      <c r="H246" s="323">
        <f>G246*2.54</f>
        <v>121.285</v>
      </c>
      <c r="I246" s="204">
        <f>F246*H246</f>
        <v>4608.83</v>
      </c>
      <c r="J246" s="340">
        <v>0</v>
      </c>
      <c r="K246" s="204">
        <f>J246*D246</f>
        <v>0</v>
      </c>
      <c r="L246" s="341">
        <f>G246</f>
        <v>47.75</v>
      </c>
      <c r="M246" s="323">
        <f>L246*2.54</f>
        <v>121.285</v>
      </c>
      <c r="N246" s="204">
        <f>K246*M246</f>
        <v>0</v>
      </c>
      <c r="O246" s="342">
        <v>2.5</v>
      </c>
      <c r="P246" s="323">
        <f>O246*2.54</f>
        <v>6.35</v>
      </c>
      <c r="Q246" s="204">
        <f>F246*P246</f>
        <v>241.29999999999998</v>
      </c>
      <c r="R246" s="323">
        <f>K246*P246</f>
        <v>0</v>
      </c>
      <c r="V246" s="204"/>
    </row>
    <row r="247" spans="1:22" s="8" customFormat="1" ht="25.5" customHeight="1">
      <c r="A247" s="10">
        <v>3</v>
      </c>
      <c r="B247" s="203" t="s">
        <v>444</v>
      </c>
      <c r="C247" s="420" t="s">
        <v>445</v>
      </c>
      <c r="D247" s="337">
        <v>1</v>
      </c>
      <c r="E247" s="226">
        <v>1.9</v>
      </c>
      <c r="F247" s="323">
        <f>E247*D247</f>
        <v>1.9</v>
      </c>
      <c r="G247" s="339">
        <v>47.64</v>
      </c>
      <c r="H247" s="323">
        <f>G247*2.54</f>
        <v>121.0056</v>
      </c>
      <c r="I247" s="204">
        <f>F247*H247</f>
        <v>229.91064</v>
      </c>
      <c r="J247" s="340">
        <v>0</v>
      </c>
      <c r="K247" s="204">
        <f>J247*D247</f>
        <v>0</v>
      </c>
      <c r="L247" s="341">
        <f>G247</f>
        <v>47.64</v>
      </c>
      <c r="M247" s="323">
        <f>L247*2.54</f>
        <v>121.0056</v>
      </c>
      <c r="N247" s="204">
        <f>K247*M247</f>
        <v>0</v>
      </c>
      <c r="O247" s="342">
        <v>0</v>
      </c>
      <c r="P247" s="323">
        <f>O247*2.54</f>
        <v>0</v>
      </c>
      <c r="Q247" s="204">
        <f>F247*P247</f>
        <v>0</v>
      </c>
      <c r="R247" s="323">
        <f>K247*P247</f>
        <v>0</v>
      </c>
      <c r="V247" s="204"/>
    </row>
    <row r="248" spans="1:22" s="257" customFormat="1" ht="16.5" customHeight="1">
      <c r="A248" s="256">
        <v>3</v>
      </c>
      <c r="B248" s="301" t="s">
        <v>446</v>
      </c>
      <c r="C248" s="304" t="s">
        <v>308</v>
      </c>
      <c r="D248" s="219">
        <v>1</v>
      </c>
      <c r="E248" s="226">
        <v>2.7</v>
      </c>
      <c r="F248" s="228">
        <f>E248*D248</f>
        <v>2.7</v>
      </c>
      <c r="G248" s="259">
        <v>48.28</v>
      </c>
      <c r="H248" s="228">
        <f>G248*2.54</f>
        <v>122.6312</v>
      </c>
      <c r="I248" s="229">
        <f>F248*H248</f>
        <v>331.10424000000006</v>
      </c>
      <c r="J248" s="340">
        <v>0</v>
      </c>
      <c r="K248" s="229">
        <f>J248*D248</f>
        <v>0</v>
      </c>
      <c r="L248" s="261">
        <f>G248</f>
        <v>48.28</v>
      </c>
      <c r="M248" s="228">
        <f>L248*2.54</f>
        <v>122.6312</v>
      </c>
      <c r="N248" s="229">
        <f>K248*M248</f>
        <v>0</v>
      </c>
      <c r="O248" s="231">
        <v>0</v>
      </c>
      <c r="P248" s="228">
        <f>O248*2.54</f>
        <v>0</v>
      </c>
      <c r="Q248" s="229">
        <f>F248*P248</f>
        <v>0</v>
      </c>
      <c r="R248" s="228">
        <f>K248*P248</f>
        <v>0</v>
      </c>
      <c r="V248" s="229"/>
    </row>
    <row r="249" spans="1:22" s="8" customFormat="1" ht="16.5" customHeight="1">
      <c r="A249" s="10">
        <v>3</v>
      </c>
      <c r="B249" s="203" t="s">
        <v>447</v>
      </c>
      <c r="C249" s="424" t="s">
        <v>308</v>
      </c>
      <c r="D249" s="337">
        <v>1</v>
      </c>
      <c r="E249" s="226">
        <v>5.4</v>
      </c>
      <c r="F249" s="323">
        <f>E249*D249</f>
        <v>5.4</v>
      </c>
      <c r="G249" s="339">
        <v>47.9</v>
      </c>
      <c r="H249" s="323">
        <f>G249*2.54</f>
        <v>121.666</v>
      </c>
      <c r="I249" s="204">
        <f>F249*H249</f>
        <v>656.9964</v>
      </c>
      <c r="J249" s="340">
        <v>0</v>
      </c>
      <c r="K249" s="204">
        <f>J249*D249</f>
        <v>0</v>
      </c>
      <c r="L249" s="341">
        <f>G249</f>
        <v>47.9</v>
      </c>
      <c r="M249" s="323">
        <f>L249*2.54</f>
        <v>121.666</v>
      </c>
      <c r="N249" s="204">
        <f>K249*M249</f>
        <v>0</v>
      </c>
      <c r="O249" s="342">
        <v>0</v>
      </c>
      <c r="P249" s="323">
        <f>O249*2.54</f>
        <v>0</v>
      </c>
      <c r="Q249" s="204">
        <f>F249*P249</f>
        <v>0</v>
      </c>
      <c r="R249" s="323">
        <f>K249*P249</f>
        <v>0</v>
      </c>
      <c r="V249" s="204"/>
    </row>
    <row r="250" spans="1:22" s="8" customFormat="1" ht="16.5" customHeight="1">
      <c r="A250" s="10"/>
      <c r="B250" s="10" t="s">
        <v>448</v>
      </c>
      <c r="C250" s="10"/>
      <c r="D250" s="337"/>
      <c r="E250" s="226"/>
      <c r="F250" s="323"/>
      <c r="G250" s="339"/>
      <c r="H250" s="323"/>
      <c r="I250" s="204"/>
      <c r="J250" s="340"/>
      <c r="K250" s="204"/>
      <c r="L250" s="341"/>
      <c r="M250" s="323"/>
      <c r="N250" s="204"/>
      <c r="O250" s="342"/>
      <c r="P250" s="323"/>
      <c r="Q250" s="204"/>
      <c r="R250" s="323"/>
      <c r="V250" s="204"/>
    </row>
    <row r="251" spans="1:22" s="8" customFormat="1" ht="16.5" customHeight="1">
      <c r="A251" s="10">
        <v>3</v>
      </c>
      <c r="B251" s="203" t="s">
        <v>449</v>
      </c>
      <c r="C251" s="413" t="s">
        <v>450</v>
      </c>
      <c r="D251" s="337">
        <v>1</v>
      </c>
      <c r="E251" s="226">
        <v>25</v>
      </c>
      <c r="F251" s="323">
        <f aca="true" t="shared" si="73" ref="F251:F262">E251*D251</f>
        <v>25</v>
      </c>
      <c r="G251" s="339">
        <v>45.5</v>
      </c>
      <c r="H251" s="323">
        <f aca="true" t="shared" si="74" ref="H251:H262">G251*2.54</f>
        <v>115.57000000000001</v>
      </c>
      <c r="I251" s="204">
        <f aca="true" t="shared" si="75" ref="I251:I262">F251*H251</f>
        <v>2889.25</v>
      </c>
      <c r="J251" s="340">
        <v>0</v>
      </c>
      <c r="K251" s="204">
        <f aca="true" t="shared" si="76" ref="K251:K262">J251*D251</f>
        <v>0</v>
      </c>
      <c r="L251" s="341">
        <f aca="true" t="shared" si="77" ref="L251:L262">G251</f>
        <v>45.5</v>
      </c>
      <c r="M251" s="323">
        <f aca="true" t="shared" si="78" ref="M251:M262">L251*2.54</f>
        <v>115.57000000000001</v>
      </c>
      <c r="N251" s="204">
        <f aca="true" t="shared" si="79" ref="N251:N262">K251*M251</f>
        <v>0</v>
      </c>
      <c r="O251" s="342">
        <v>3.4</v>
      </c>
      <c r="P251" s="323">
        <f aca="true" t="shared" si="80" ref="P251:P262">O251*2.54</f>
        <v>8.636</v>
      </c>
      <c r="Q251" s="204">
        <f aca="true" t="shared" si="81" ref="Q251:Q262">F251*P251</f>
        <v>215.89999999999998</v>
      </c>
      <c r="R251" s="323">
        <f aca="true" t="shared" si="82" ref="R251:R262">K251*P251</f>
        <v>0</v>
      </c>
      <c r="V251" s="204"/>
    </row>
    <row r="252" spans="1:22" s="8" customFormat="1" ht="16.5" customHeight="1">
      <c r="A252" s="10">
        <v>3</v>
      </c>
      <c r="B252" s="203" t="s">
        <v>451</v>
      </c>
      <c r="C252" s="105">
        <v>55385</v>
      </c>
      <c r="D252" s="337">
        <v>1</v>
      </c>
      <c r="E252" s="226">
        <v>33.9</v>
      </c>
      <c r="F252" s="323">
        <f t="shared" si="73"/>
        <v>33.9</v>
      </c>
      <c r="G252" s="339">
        <v>45.5</v>
      </c>
      <c r="H252" s="323">
        <f t="shared" si="74"/>
        <v>115.57000000000001</v>
      </c>
      <c r="I252" s="204">
        <f t="shared" si="75"/>
        <v>3917.823</v>
      </c>
      <c r="J252" s="340">
        <v>0</v>
      </c>
      <c r="K252" s="204">
        <f t="shared" si="76"/>
        <v>0</v>
      </c>
      <c r="L252" s="341">
        <f t="shared" si="77"/>
        <v>45.5</v>
      </c>
      <c r="M252" s="323">
        <f t="shared" si="78"/>
        <v>115.57000000000001</v>
      </c>
      <c r="N252" s="204">
        <f t="shared" si="79"/>
        <v>0</v>
      </c>
      <c r="O252" s="342">
        <v>1.7</v>
      </c>
      <c r="P252" s="323">
        <f t="shared" si="80"/>
        <v>4.318</v>
      </c>
      <c r="Q252" s="204">
        <f t="shared" si="81"/>
        <v>146.38019999999997</v>
      </c>
      <c r="R252" s="323">
        <f t="shared" si="82"/>
        <v>0</v>
      </c>
      <c r="V252" s="204"/>
    </row>
    <row r="253" spans="1:22" s="8" customFormat="1" ht="16.5" customHeight="1">
      <c r="A253" s="10">
        <v>3</v>
      </c>
      <c r="B253" s="203" t="s">
        <v>452</v>
      </c>
      <c r="C253" s="10">
        <v>52261</v>
      </c>
      <c r="D253" s="337">
        <v>1</v>
      </c>
      <c r="E253" s="226">
        <v>4</v>
      </c>
      <c r="F253" s="323">
        <f t="shared" si="73"/>
        <v>4</v>
      </c>
      <c r="G253" s="339">
        <v>44.4</v>
      </c>
      <c r="H253" s="323">
        <f t="shared" si="74"/>
        <v>112.776</v>
      </c>
      <c r="I253" s="204">
        <f t="shared" si="75"/>
        <v>451.104</v>
      </c>
      <c r="J253" s="340">
        <v>0</v>
      </c>
      <c r="K253" s="204">
        <f t="shared" si="76"/>
        <v>0</v>
      </c>
      <c r="L253" s="323">
        <f t="shared" si="77"/>
        <v>44.4</v>
      </c>
      <c r="M253" s="323">
        <f t="shared" si="78"/>
        <v>112.776</v>
      </c>
      <c r="N253" s="204">
        <f t="shared" si="79"/>
        <v>0</v>
      </c>
      <c r="O253" s="342">
        <v>1.5</v>
      </c>
      <c r="P253" s="323">
        <f t="shared" si="80"/>
        <v>3.81</v>
      </c>
      <c r="Q253" s="204">
        <f t="shared" si="81"/>
        <v>15.24</v>
      </c>
      <c r="R253" s="323">
        <f t="shared" si="82"/>
        <v>0</v>
      </c>
      <c r="V253" s="204"/>
    </row>
    <row r="254" spans="1:22" s="8" customFormat="1" ht="16.5" customHeight="1">
      <c r="A254" s="10">
        <v>3</v>
      </c>
      <c r="B254" s="203" t="s">
        <v>453</v>
      </c>
      <c r="C254" s="10" t="s">
        <v>454</v>
      </c>
      <c r="D254" s="337">
        <v>1</v>
      </c>
      <c r="E254" s="226">
        <v>20</v>
      </c>
      <c r="F254" s="323">
        <f t="shared" si="73"/>
        <v>20</v>
      </c>
      <c r="G254" s="339">
        <v>45.5</v>
      </c>
      <c r="H254" s="323">
        <f t="shared" si="74"/>
        <v>115.57000000000001</v>
      </c>
      <c r="I254" s="204">
        <f t="shared" si="75"/>
        <v>2311.4</v>
      </c>
      <c r="J254" s="340">
        <v>0</v>
      </c>
      <c r="K254" s="204">
        <f t="shared" si="76"/>
        <v>0</v>
      </c>
      <c r="L254" s="341">
        <f t="shared" si="77"/>
        <v>45.5</v>
      </c>
      <c r="M254" s="323">
        <f t="shared" si="78"/>
        <v>115.57000000000001</v>
      </c>
      <c r="N254" s="204">
        <f t="shared" si="79"/>
        <v>0</v>
      </c>
      <c r="O254" s="342">
        <v>1.9</v>
      </c>
      <c r="P254" s="323">
        <f t="shared" si="80"/>
        <v>4.826</v>
      </c>
      <c r="Q254" s="204">
        <f t="shared" si="81"/>
        <v>96.52</v>
      </c>
      <c r="R254" s="323">
        <f t="shared" si="82"/>
        <v>0</v>
      </c>
      <c r="V254" s="204"/>
    </row>
    <row r="255" spans="1:22" s="8" customFormat="1" ht="16.5" customHeight="1">
      <c r="A255" s="10">
        <v>3</v>
      </c>
      <c r="B255" s="203" t="s">
        <v>455</v>
      </c>
      <c r="C255" s="105">
        <v>55388</v>
      </c>
      <c r="D255" s="337">
        <v>1</v>
      </c>
      <c r="E255" s="226">
        <v>22.2</v>
      </c>
      <c r="F255" s="323">
        <f t="shared" si="73"/>
        <v>22.2</v>
      </c>
      <c r="G255" s="339">
        <v>45.5</v>
      </c>
      <c r="H255" s="323">
        <f t="shared" si="74"/>
        <v>115.57000000000001</v>
      </c>
      <c r="I255" s="204">
        <f t="shared" si="75"/>
        <v>2565.654</v>
      </c>
      <c r="J255" s="340">
        <v>0</v>
      </c>
      <c r="K255" s="204">
        <f t="shared" si="76"/>
        <v>0</v>
      </c>
      <c r="L255" s="341">
        <f t="shared" si="77"/>
        <v>45.5</v>
      </c>
      <c r="M255" s="323">
        <f t="shared" si="78"/>
        <v>115.57000000000001</v>
      </c>
      <c r="N255" s="204">
        <f t="shared" si="79"/>
        <v>0</v>
      </c>
      <c r="O255" s="342">
        <v>-1.7</v>
      </c>
      <c r="P255" s="323">
        <f t="shared" si="80"/>
        <v>-4.318</v>
      </c>
      <c r="Q255" s="204">
        <f t="shared" si="81"/>
        <v>-95.85959999999999</v>
      </c>
      <c r="R255" s="323">
        <f t="shared" si="82"/>
        <v>0</v>
      </c>
      <c r="V255" s="204"/>
    </row>
    <row r="256" spans="1:22" s="8" customFormat="1" ht="16.5" customHeight="1">
      <c r="A256" s="10">
        <v>3</v>
      </c>
      <c r="B256" s="203" t="s">
        <v>456</v>
      </c>
      <c r="C256" s="10">
        <v>52260</v>
      </c>
      <c r="D256" s="337">
        <v>1</v>
      </c>
      <c r="E256" s="226">
        <v>5.7</v>
      </c>
      <c r="F256" s="323">
        <f t="shared" si="73"/>
        <v>5.7</v>
      </c>
      <c r="G256" s="339">
        <v>44.4</v>
      </c>
      <c r="H256" s="323">
        <f t="shared" si="74"/>
        <v>112.776</v>
      </c>
      <c r="I256" s="204">
        <f t="shared" si="75"/>
        <v>642.8232</v>
      </c>
      <c r="J256" s="340">
        <v>0</v>
      </c>
      <c r="K256" s="204">
        <f t="shared" si="76"/>
        <v>0</v>
      </c>
      <c r="L256" s="323">
        <f t="shared" si="77"/>
        <v>44.4</v>
      </c>
      <c r="M256" s="323">
        <f t="shared" si="78"/>
        <v>112.776</v>
      </c>
      <c r="N256" s="204">
        <f t="shared" si="79"/>
        <v>0</v>
      </c>
      <c r="O256" s="342">
        <v>0.5</v>
      </c>
      <c r="P256" s="323">
        <f t="shared" si="80"/>
        <v>1.27</v>
      </c>
      <c r="Q256" s="204">
        <f t="shared" si="81"/>
        <v>7.239000000000001</v>
      </c>
      <c r="R256" s="323">
        <f t="shared" si="82"/>
        <v>0</v>
      </c>
      <c r="V256" s="204"/>
    </row>
    <row r="257" spans="1:22" s="8" customFormat="1" ht="16.5" customHeight="1">
      <c r="A257" s="10">
        <v>3</v>
      </c>
      <c r="B257" s="203" t="s">
        <v>457</v>
      </c>
      <c r="C257" s="10" t="s">
        <v>458</v>
      </c>
      <c r="D257" s="337">
        <v>1</v>
      </c>
      <c r="E257" s="226">
        <v>16.5</v>
      </c>
      <c r="F257" s="323">
        <f t="shared" si="73"/>
        <v>16.5</v>
      </c>
      <c r="G257" s="339">
        <v>45.5</v>
      </c>
      <c r="H257" s="323">
        <f t="shared" si="74"/>
        <v>115.57000000000001</v>
      </c>
      <c r="I257" s="204">
        <f t="shared" si="75"/>
        <v>1906.9050000000002</v>
      </c>
      <c r="J257" s="340">
        <v>0</v>
      </c>
      <c r="K257" s="204">
        <f t="shared" si="76"/>
        <v>0</v>
      </c>
      <c r="L257" s="341">
        <f t="shared" si="77"/>
        <v>45.5</v>
      </c>
      <c r="M257" s="323">
        <f t="shared" si="78"/>
        <v>115.57000000000001</v>
      </c>
      <c r="N257" s="204">
        <f t="shared" si="79"/>
        <v>0</v>
      </c>
      <c r="O257" s="342">
        <v>-1.9</v>
      </c>
      <c r="P257" s="323">
        <f t="shared" si="80"/>
        <v>-4.826</v>
      </c>
      <c r="Q257" s="204">
        <f t="shared" si="81"/>
        <v>-79.62899999999999</v>
      </c>
      <c r="R257" s="323">
        <f t="shared" si="82"/>
        <v>0</v>
      </c>
      <c r="V257" s="204"/>
    </row>
    <row r="258" spans="1:22" s="8" customFormat="1" ht="16.5" customHeight="1">
      <c r="A258" s="10">
        <v>3</v>
      </c>
      <c r="B258" s="203" t="s">
        <v>459</v>
      </c>
      <c r="C258" s="105">
        <v>55524</v>
      </c>
      <c r="D258" s="337">
        <v>1</v>
      </c>
      <c r="E258" s="226">
        <v>23.1</v>
      </c>
      <c r="F258" s="323">
        <f t="shared" si="73"/>
        <v>23.1</v>
      </c>
      <c r="G258" s="339">
        <v>45.5</v>
      </c>
      <c r="H258" s="323">
        <f t="shared" si="74"/>
        <v>115.57000000000001</v>
      </c>
      <c r="I258" s="204">
        <f t="shared" si="75"/>
        <v>2669.6670000000004</v>
      </c>
      <c r="J258" s="340">
        <v>0</v>
      </c>
      <c r="K258" s="204">
        <f t="shared" si="76"/>
        <v>0</v>
      </c>
      <c r="L258" s="323">
        <f t="shared" si="77"/>
        <v>45.5</v>
      </c>
      <c r="M258" s="323">
        <f t="shared" si="78"/>
        <v>115.57000000000001</v>
      </c>
      <c r="N258" s="204">
        <f t="shared" si="79"/>
        <v>0</v>
      </c>
      <c r="O258" s="342">
        <v>-3.4</v>
      </c>
      <c r="P258" s="323">
        <f t="shared" si="80"/>
        <v>-8.636</v>
      </c>
      <c r="Q258" s="204">
        <f t="shared" si="81"/>
        <v>-199.4916</v>
      </c>
      <c r="R258" s="323">
        <f t="shared" si="82"/>
        <v>0</v>
      </c>
      <c r="V258" s="204"/>
    </row>
    <row r="259" spans="1:22" s="8" customFormat="1" ht="16.5" customHeight="1">
      <c r="A259" s="10">
        <v>3</v>
      </c>
      <c r="B259" s="203" t="s">
        <v>460</v>
      </c>
      <c r="C259" s="10">
        <v>52265</v>
      </c>
      <c r="D259" s="337">
        <v>1</v>
      </c>
      <c r="E259" s="226">
        <v>6.1</v>
      </c>
      <c r="F259" s="323">
        <f t="shared" si="73"/>
        <v>6.1</v>
      </c>
      <c r="G259" s="339">
        <v>44.4</v>
      </c>
      <c r="H259" s="323">
        <f t="shared" si="74"/>
        <v>112.776</v>
      </c>
      <c r="I259" s="204">
        <f t="shared" si="75"/>
        <v>687.9336</v>
      </c>
      <c r="J259" s="340">
        <v>0</v>
      </c>
      <c r="K259" s="204">
        <f t="shared" si="76"/>
        <v>0</v>
      </c>
      <c r="L259" s="323">
        <f t="shared" si="77"/>
        <v>44.4</v>
      </c>
      <c r="M259" s="323">
        <f t="shared" si="78"/>
        <v>112.776</v>
      </c>
      <c r="N259" s="204">
        <f t="shared" si="79"/>
        <v>0</v>
      </c>
      <c r="O259" s="342">
        <v>0</v>
      </c>
      <c r="P259" s="323">
        <f t="shared" si="80"/>
        <v>0</v>
      </c>
      <c r="Q259" s="204">
        <f t="shared" si="81"/>
        <v>0</v>
      </c>
      <c r="R259" s="323">
        <f t="shared" si="82"/>
        <v>0</v>
      </c>
      <c r="V259" s="204"/>
    </row>
    <row r="260" spans="1:22" s="8" customFormat="1" ht="16.5" customHeight="1">
      <c r="A260" s="10">
        <v>3</v>
      </c>
      <c r="B260" s="203" t="s">
        <v>461</v>
      </c>
      <c r="C260" s="413" t="s">
        <v>462</v>
      </c>
      <c r="D260" s="337">
        <v>1</v>
      </c>
      <c r="E260" s="226">
        <v>29.2</v>
      </c>
      <c r="F260" s="323">
        <f t="shared" si="73"/>
        <v>29.2</v>
      </c>
      <c r="G260" s="397">
        <v>38.625</v>
      </c>
      <c r="H260" s="323">
        <f t="shared" si="74"/>
        <v>98.1075</v>
      </c>
      <c r="I260" s="204">
        <f t="shared" si="75"/>
        <v>2864.739</v>
      </c>
      <c r="J260" s="340">
        <v>0</v>
      </c>
      <c r="K260" s="204">
        <f t="shared" si="76"/>
        <v>0</v>
      </c>
      <c r="L260" s="341">
        <f t="shared" si="77"/>
        <v>38.625</v>
      </c>
      <c r="M260" s="323">
        <f t="shared" si="78"/>
        <v>98.1075</v>
      </c>
      <c r="N260" s="204">
        <f t="shared" si="79"/>
        <v>0</v>
      </c>
      <c r="O260" s="342">
        <v>3.5</v>
      </c>
      <c r="P260" s="323">
        <f t="shared" si="80"/>
        <v>8.89</v>
      </c>
      <c r="Q260" s="204">
        <f t="shared" si="81"/>
        <v>259.588</v>
      </c>
      <c r="R260" s="323">
        <f t="shared" si="82"/>
        <v>0</v>
      </c>
      <c r="V260" s="204"/>
    </row>
    <row r="261" spans="1:22" s="8" customFormat="1" ht="16.5" customHeight="1">
      <c r="A261" s="10">
        <v>3</v>
      </c>
      <c r="B261" s="203" t="s">
        <v>463</v>
      </c>
      <c r="C261" s="413" t="s">
        <v>464</v>
      </c>
      <c r="D261" s="337">
        <v>1</v>
      </c>
      <c r="E261" s="226">
        <v>36.9</v>
      </c>
      <c r="F261" s="323">
        <f t="shared" si="73"/>
        <v>36.9</v>
      </c>
      <c r="G261" s="397">
        <v>38.625</v>
      </c>
      <c r="H261" s="323">
        <f t="shared" si="74"/>
        <v>98.1075</v>
      </c>
      <c r="I261" s="204">
        <f t="shared" si="75"/>
        <v>3620.16675</v>
      </c>
      <c r="J261" s="340">
        <v>0</v>
      </c>
      <c r="K261" s="204">
        <f t="shared" si="76"/>
        <v>0</v>
      </c>
      <c r="L261" s="341">
        <f t="shared" si="77"/>
        <v>38.625</v>
      </c>
      <c r="M261" s="323">
        <f t="shared" si="78"/>
        <v>98.1075</v>
      </c>
      <c r="N261" s="204">
        <f t="shared" si="79"/>
        <v>0</v>
      </c>
      <c r="O261" s="342">
        <v>3.5</v>
      </c>
      <c r="P261" s="323">
        <f t="shared" si="80"/>
        <v>8.89</v>
      </c>
      <c r="Q261" s="204">
        <f t="shared" si="81"/>
        <v>328.041</v>
      </c>
      <c r="R261" s="323">
        <f t="shared" si="82"/>
        <v>0</v>
      </c>
      <c r="V261" s="204"/>
    </row>
    <row r="262" spans="1:27" s="211" customFormat="1" ht="33" customHeight="1">
      <c r="A262" s="10">
        <v>3</v>
      </c>
      <c r="B262" s="299" t="s">
        <v>465</v>
      </c>
      <c r="C262" s="10">
        <v>52368</v>
      </c>
      <c r="D262" s="337">
        <v>1</v>
      </c>
      <c r="E262" s="226">
        <v>286.2</v>
      </c>
      <c r="F262" s="323">
        <f t="shared" si="73"/>
        <v>286.2</v>
      </c>
      <c r="G262" s="339">
        <v>47.864</v>
      </c>
      <c r="H262" s="323">
        <f t="shared" si="74"/>
        <v>121.57455999999999</v>
      </c>
      <c r="I262" s="204">
        <f t="shared" si="75"/>
        <v>34794.639072</v>
      </c>
      <c r="J262" s="352">
        <v>184.027</v>
      </c>
      <c r="K262" s="204">
        <f t="shared" si="76"/>
        <v>184.027</v>
      </c>
      <c r="L262" s="341">
        <f t="shared" si="77"/>
        <v>47.864</v>
      </c>
      <c r="M262" s="323">
        <f t="shared" si="78"/>
        <v>121.57455999999999</v>
      </c>
      <c r="N262" s="204">
        <f t="shared" si="79"/>
        <v>22373.001553119997</v>
      </c>
      <c r="O262" s="342">
        <v>7.058</v>
      </c>
      <c r="P262" s="323">
        <f t="shared" si="80"/>
        <v>17.927319999999998</v>
      </c>
      <c r="Q262" s="204">
        <f t="shared" si="81"/>
        <v>5130.798983999999</v>
      </c>
      <c r="R262" s="323">
        <f t="shared" si="82"/>
        <v>3299.1109176399996</v>
      </c>
      <c r="S262" s="8"/>
      <c r="T262" s="8"/>
      <c r="U262" s="8"/>
      <c r="V262" s="212"/>
      <c r="W262" s="8"/>
      <c r="X262" s="8"/>
      <c r="Z262" s="8"/>
      <c r="AA262" s="8"/>
    </row>
    <row r="263" spans="1:22" s="8" customFormat="1" ht="16.5" customHeight="1">
      <c r="A263" s="10"/>
      <c r="B263" s="203"/>
      <c r="C263" s="10"/>
      <c r="D263" s="337"/>
      <c r="E263" s="397"/>
      <c r="F263" s="323"/>
      <c r="G263" s="339"/>
      <c r="H263" s="323"/>
      <c r="I263" s="204"/>
      <c r="J263" s="260"/>
      <c r="K263" s="323"/>
      <c r="L263" s="341"/>
      <c r="M263" s="323"/>
      <c r="N263" s="204"/>
      <c r="O263" s="342"/>
      <c r="P263" s="323"/>
      <c r="Q263" s="204"/>
      <c r="R263" s="323"/>
      <c r="V263" s="204"/>
    </row>
    <row r="264" spans="1:22" s="8" customFormat="1" ht="16.5" customHeight="1">
      <c r="A264" s="390"/>
      <c r="B264" s="425"/>
      <c r="C264" s="390"/>
      <c r="D264" s="426"/>
      <c r="E264" s="427"/>
      <c r="F264" s="428"/>
      <c r="G264" s="429"/>
      <c r="H264" s="428"/>
      <c r="I264" s="430"/>
      <c r="J264" s="431"/>
      <c r="K264" s="430"/>
      <c r="L264" s="432"/>
      <c r="M264" s="428"/>
      <c r="N264" s="430"/>
      <c r="O264" s="433"/>
      <c r="P264" s="428"/>
      <c r="Q264" s="430"/>
      <c r="R264" s="428"/>
      <c r="V264" s="204"/>
    </row>
    <row r="265" spans="1:22" s="8" customFormat="1" ht="16.5" customHeight="1">
      <c r="A265" s="186">
        <v>2</v>
      </c>
      <c r="B265" s="247" t="s">
        <v>466</v>
      </c>
      <c r="C265" s="192">
        <v>49889</v>
      </c>
      <c r="D265" s="195"/>
      <c r="E265" s="434"/>
      <c r="F265" s="435"/>
      <c r="G265" s="436"/>
      <c r="H265" s="435"/>
      <c r="I265" s="254"/>
      <c r="J265" s="325"/>
      <c r="K265" s="437"/>
      <c r="L265" s="438"/>
      <c r="M265" s="328"/>
      <c r="N265" s="224"/>
      <c r="O265" s="327"/>
      <c r="P265" s="328"/>
      <c r="Q265" s="224"/>
      <c r="R265" s="210"/>
      <c r="V265" s="204"/>
    </row>
    <row r="266" spans="1:22" s="8" customFormat="1" ht="16.5" customHeight="1">
      <c r="A266" s="10"/>
      <c r="B266" s="232" t="s">
        <v>248</v>
      </c>
      <c r="C266" s="328">
        <f>SUM(F269:F370)</f>
        <v>12458.2</v>
      </c>
      <c r="D266" s="346" t="s">
        <v>177</v>
      </c>
      <c r="E266" s="367" t="s">
        <v>183</v>
      </c>
      <c r="F266" s="435"/>
      <c r="G266" s="436"/>
      <c r="H266" s="435"/>
      <c r="J266" s="325"/>
      <c r="L266" s="438"/>
      <c r="M266" s="328"/>
      <c r="N266" s="224"/>
      <c r="O266" s="327"/>
      <c r="P266" s="328"/>
      <c r="Q266" s="224"/>
      <c r="R266" s="210"/>
      <c r="V266" s="204"/>
    </row>
    <row r="267" spans="1:33" s="257" customFormat="1" ht="16.5" customHeight="1">
      <c r="A267" s="256"/>
      <c r="B267" s="439" t="s">
        <v>237</v>
      </c>
      <c r="C267" s="434">
        <v>12465</v>
      </c>
      <c r="D267" s="346" t="s">
        <v>177</v>
      </c>
      <c r="E267" s="377">
        <f>C267-C266</f>
        <v>6.799999999999272</v>
      </c>
      <c r="I267" s="400"/>
      <c r="O267" s="401"/>
      <c r="T267"/>
      <c r="U267"/>
      <c r="V267"/>
      <c r="W267"/>
      <c r="X267"/>
      <c r="Y267"/>
      <c r="Z267"/>
      <c r="AA267"/>
      <c r="AB267"/>
      <c r="AC267"/>
      <c r="AD267"/>
      <c r="AE267"/>
      <c r="AF267"/>
      <c r="AG267"/>
    </row>
    <row r="268" spans="1:22" s="8" customFormat="1" ht="16.5" customHeight="1">
      <c r="A268" s="10"/>
      <c r="B268" s="440"/>
      <c r="C268" s="131"/>
      <c r="D268" s="346"/>
      <c r="E268" s="434"/>
      <c r="F268" s="435"/>
      <c r="G268" s="436"/>
      <c r="H268" s="435"/>
      <c r="I268" s="440"/>
      <c r="J268" s="325"/>
      <c r="K268" s="437"/>
      <c r="L268" s="438"/>
      <c r="M268" s="328"/>
      <c r="N268" s="224"/>
      <c r="O268" s="327"/>
      <c r="P268" s="328"/>
      <c r="Q268" s="224"/>
      <c r="R268" s="210"/>
      <c r="V268" s="204"/>
    </row>
    <row r="269" spans="1:22" s="8" customFormat="1" ht="16.5" customHeight="1">
      <c r="A269" s="10">
        <v>3</v>
      </c>
      <c r="B269" s="441" t="s">
        <v>467</v>
      </c>
      <c r="C269" s="351">
        <v>55843</v>
      </c>
      <c r="D269" s="346"/>
      <c r="E269" s="434"/>
      <c r="F269" s="435"/>
      <c r="G269" s="436"/>
      <c r="H269" s="435"/>
      <c r="I269" s="440"/>
      <c r="J269" s="325"/>
      <c r="K269" s="437"/>
      <c r="L269" s="438"/>
      <c r="M269" s="328"/>
      <c r="N269" s="224"/>
      <c r="O269" s="327"/>
      <c r="P269" s="328"/>
      <c r="Q269" s="224"/>
      <c r="R269" s="210"/>
      <c r="V269" s="204"/>
    </row>
    <row r="270" spans="1:22" s="8" customFormat="1" ht="16.5" customHeight="1">
      <c r="A270" s="10">
        <v>4</v>
      </c>
      <c r="B270" s="8" t="s">
        <v>468</v>
      </c>
      <c r="C270" s="10">
        <v>49819</v>
      </c>
      <c r="D270" s="337">
        <v>1</v>
      </c>
      <c r="E270" s="226">
        <v>1300.8</v>
      </c>
      <c r="F270" s="323">
        <f>E270*D270</f>
        <v>1300.8</v>
      </c>
      <c r="G270" s="339">
        <v>27.322</v>
      </c>
      <c r="H270" s="323">
        <f>G270*2.54</f>
        <v>69.39788</v>
      </c>
      <c r="I270" s="204">
        <f>F270*H270</f>
        <v>90272.762304</v>
      </c>
      <c r="J270" s="331">
        <v>2669.8</v>
      </c>
      <c r="K270" s="323">
        <f>J270*D270</f>
        <v>2669.8</v>
      </c>
      <c r="L270" s="341">
        <v>27.506</v>
      </c>
      <c r="M270" s="323">
        <f>L270*2.54</f>
        <v>69.86524</v>
      </c>
      <c r="N270" s="204">
        <f>K270*M270</f>
        <v>186526.21775200003</v>
      </c>
      <c r="O270" s="342">
        <v>0</v>
      </c>
      <c r="P270" s="323">
        <f>O270*2.54</f>
        <v>0</v>
      </c>
      <c r="Q270" s="204">
        <f>F270*P270</f>
        <v>0</v>
      </c>
      <c r="R270" s="323">
        <f>K270*P270</f>
        <v>0</v>
      </c>
      <c r="V270" s="204"/>
    </row>
    <row r="271" spans="1:22" s="8" customFormat="1" ht="16.5" customHeight="1">
      <c r="A271" s="10"/>
      <c r="B271" s="8" t="s">
        <v>469</v>
      </c>
      <c r="C271" s="10"/>
      <c r="D271" s="337"/>
      <c r="E271" s="226"/>
      <c r="F271" s="323"/>
      <c r="G271" s="339"/>
      <c r="H271" s="323"/>
      <c r="I271" s="204"/>
      <c r="J271" s="331"/>
      <c r="K271" s="323"/>
      <c r="L271" s="341"/>
      <c r="M271" s="323"/>
      <c r="N271" s="204"/>
      <c r="O271" s="342"/>
      <c r="P271" s="323"/>
      <c r="Q271" s="204"/>
      <c r="R271" s="323"/>
      <c r="V271" s="204"/>
    </row>
    <row r="272" spans="1:22" s="8" customFormat="1" ht="16.5" customHeight="1">
      <c r="A272" s="10"/>
      <c r="C272" s="10"/>
      <c r="D272" s="337"/>
      <c r="E272" s="226"/>
      <c r="F272" s="323"/>
      <c r="G272" s="339"/>
      <c r="H272" s="323"/>
      <c r="I272" s="204"/>
      <c r="J272" s="331"/>
      <c r="K272" s="323"/>
      <c r="L272" s="341"/>
      <c r="M272" s="323"/>
      <c r="N272" s="204"/>
      <c r="O272" s="342"/>
      <c r="P272" s="323"/>
      <c r="Q272" s="204"/>
      <c r="R272" s="323"/>
      <c r="V272" s="204"/>
    </row>
    <row r="273" spans="1:22" s="8" customFormat="1" ht="16.5" customHeight="1">
      <c r="A273" s="10">
        <v>3</v>
      </c>
      <c r="B273" s="8" t="s">
        <v>470</v>
      </c>
      <c r="C273" s="413">
        <v>49845</v>
      </c>
      <c r="D273" s="337">
        <v>1</v>
      </c>
      <c r="E273" s="226">
        <v>8.2</v>
      </c>
      <c r="F273" s="323">
        <f aca="true" t="shared" si="83" ref="F273:F281">E273*D273</f>
        <v>8.2</v>
      </c>
      <c r="G273" s="339">
        <v>27.58</v>
      </c>
      <c r="H273" s="323">
        <f aca="true" t="shared" si="84" ref="H273:H281">G273*2.54</f>
        <v>70.05319999999999</v>
      </c>
      <c r="I273" s="204">
        <f aca="true" t="shared" si="85" ref="I273:I281">F273*H273</f>
        <v>574.4362399999999</v>
      </c>
      <c r="J273" s="340">
        <v>0</v>
      </c>
      <c r="K273" s="204">
        <f aca="true" t="shared" si="86" ref="K273:K281">J273*D273</f>
        <v>0</v>
      </c>
      <c r="L273" s="341">
        <f aca="true" t="shared" si="87" ref="L273:L281">G273</f>
        <v>27.58</v>
      </c>
      <c r="M273" s="323">
        <f aca="true" t="shared" si="88" ref="M273:M281">L273*2.54</f>
        <v>70.05319999999999</v>
      </c>
      <c r="N273" s="204">
        <f aca="true" t="shared" si="89" ref="N273:N281">K273*M273</f>
        <v>0</v>
      </c>
      <c r="O273" s="342">
        <v>0</v>
      </c>
      <c r="P273" s="323">
        <f aca="true" t="shared" si="90" ref="P273:P281">O273*2.54</f>
        <v>0</v>
      </c>
      <c r="Q273" s="204">
        <f aca="true" t="shared" si="91" ref="Q273:Q281">F273*P273</f>
        <v>0</v>
      </c>
      <c r="R273" s="323">
        <f aca="true" t="shared" si="92" ref="R273:R281">K273*P273</f>
        <v>0</v>
      </c>
      <c r="V273" s="204"/>
    </row>
    <row r="274" spans="1:22" s="8" customFormat="1" ht="16.5" customHeight="1">
      <c r="A274" s="10">
        <v>3</v>
      </c>
      <c r="B274" s="301" t="s">
        <v>471</v>
      </c>
      <c r="C274" s="10">
        <v>49894</v>
      </c>
      <c r="D274" s="337">
        <v>1</v>
      </c>
      <c r="E274" s="226">
        <v>8.8</v>
      </c>
      <c r="F274" s="323">
        <f t="shared" si="83"/>
        <v>8.8</v>
      </c>
      <c r="G274" s="339">
        <v>26.8</v>
      </c>
      <c r="H274" s="323">
        <f t="shared" si="84"/>
        <v>68.072</v>
      </c>
      <c r="I274" s="204">
        <f t="shared" si="85"/>
        <v>599.0336000000001</v>
      </c>
      <c r="J274" s="340">
        <v>0</v>
      </c>
      <c r="K274" s="204">
        <f t="shared" si="86"/>
        <v>0</v>
      </c>
      <c r="L274" s="341">
        <f t="shared" si="87"/>
        <v>26.8</v>
      </c>
      <c r="M274" s="323">
        <f t="shared" si="88"/>
        <v>68.072</v>
      </c>
      <c r="N274" s="204">
        <f t="shared" si="89"/>
        <v>0</v>
      </c>
      <c r="O274" s="342">
        <v>0</v>
      </c>
      <c r="P274" s="323">
        <f t="shared" si="90"/>
        <v>0</v>
      </c>
      <c r="Q274" s="204">
        <f t="shared" si="91"/>
        <v>0</v>
      </c>
      <c r="R274" s="323">
        <f t="shared" si="92"/>
        <v>0</v>
      </c>
      <c r="V274" s="204"/>
    </row>
    <row r="275" spans="1:22" s="8" customFormat="1" ht="16.5" customHeight="1">
      <c r="A275" s="10">
        <v>3</v>
      </c>
      <c r="B275" s="301" t="s">
        <v>472</v>
      </c>
      <c r="C275" s="10">
        <v>55208</v>
      </c>
      <c r="D275" s="337">
        <v>1</v>
      </c>
      <c r="E275" s="226">
        <v>1.1</v>
      </c>
      <c r="F275" s="323">
        <f t="shared" si="83"/>
        <v>1.1</v>
      </c>
      <c r="G275" s="339">
        <v>26.8</v>
      </c>
      <c r="H275" s="323">
        <f t="shared" si="84"/>
        <v>68.072</v>
      </c>
      <c r="I275" s="204">
        <f t="shared" si="85"/>
        <v>74.87920000000001</v>
      </c>
      <c r="J275" s="340">
        <v>0</v>
      </c>
      <c r="K275" s="204">
        <f t="shared" si="86"/>
        <v>0</v>
      </c>
      <c r="L275" s="341">
        <f t="shared" si="87"/>
        <v>26.8</v>
      </c>
      <c r="M275" s="323">
        <f t="shared" si="88"/>
        <v>68.072</v>
      </c>
      <c r="N275" s="204">
        <f t="shared" si="89"/>
        <v>0</v>
      </c>
      <c r="O275" s="342">
        <v>0</v>
      </c>
      <c r="P275" s="323">
        <f t="shared" si="90"/>
        <v>0</v>
      </c>
      <c r="Q275" s="204">
        <f t="shared" si="91"/>
        <v>0</v>
      </c>
      <c r="R275" s="323">
        <f t="shared" si="92"/>
        <v>0</v>
      </c>
      <c r="V275" s="204"/>
    </row>
    <row r="276" spans="1:22" s="8" customFormat="1" ht="18.75" customHeight="1">
      <c r="A276" s="10">
        <v>3</v>
      </c>
      <c r="B276" s="8" t="s">
        <v>473</v>
      </c>
      <c r="C276" s="442">
        <v>52402</v>
      </c>
      <c r="D276" s="337">
        <v>1</v>
      </c>
      <c r="E276" s="226">
        <v>53</v>
      </c>
      <c r="F276" s="323">
        <f t="shared" si="83"/>
        <v>53</v>
      </c>
      <c r="G276" s="339">
        <v>27.8</v>
      </c>
      <c r="H276" s="323">
        <f t="shared" si="84"/>
        <v>70.61200000000001</v>
      </c>
      <c r="I276" s="204">
        <f t="shared" si="85"/>
        <v>3742.4360000000006</v>
      </c>
      <c r="J276" s="340">
        <v>0</v>
      </c>
      <c r="K276" s="204">
        <f t="shared" si="86"/>
        <v>0</v>
      </c>
      <c r="L276" s="341">
        <f t="shared" si="87"/>
        <v>27.8</v>
      </c>
      <c r="M276" s="323">
        <f t="shared" si="88"/>
        <v>70.61200000000001</v>
      </c>
      <c r="N276" s="204">
        <f t="shared" si="89"/>
        <v>0</v>
      </c>
      <c r="O276" s="342">
        <v>0</v>
      </c>
      <c r="P276" s="323">
        <f t="shared" si="90"/>
        <v>0</v>
      </c>
      <c r="Q276" s="204">
        <f t="shared" si="91"/>
        <v>0</v>
      </c>
      <c r="R276" s="323">
        <f t="shared" si="92"/>
        <v>0</v>
      </c>
      <c r="V276" s="204"/>
    </row>
    <row r="277" spans="1:22" s="8" customFormat="1" ht="15.75" customHeight="1">
      <c r="A277" s="10">
        <v>3</v>
      </c>
      <c r="B277" s="8" t="s">
        <v>474</v>
      </c>
      <c r="C277" s="442">
        <v>55210</v>
      </c>
      <c r="D277" s="337">
        <v>1</v>
      </c>
      <c r="E277" s="226">
        <v>3.7</v>
      </c>
      <c r="F277" s="323">
        <f t="shared" si="83"/>
        <v>3.7</v>
      </c>
      <c r="G277" s="339">
        <v>26.28</v>
      </c>
      <c r="H277" s="323">
        <f t="shared" si="84"/>
        <v>66.7512</v>
      </c>
      <c r="I277" s="204">
        <f t="shared" si="85"/>
        <v>246.97944</v>
      </c>
      <c r="J277" s="340">
        <v>0</v>
      </c>
      <c r="K277" s="204">
        <f t="shared" si="86"/>
        <v>0</v>
      </c>
      <c r="L277" s="341">
        <f t="shared" si="87"/>
        <v>26.28</v>
      </c>
      <c r="M277" s="323">
        <f t="shared" si="88"/>
        <v>66.7512</v>
      </c>
      <c r="N277" s="204">
        <f t="shared" si="89"/>
        <v>0</v>
      </c>
      <c r="O277" s="342">
        <v>-3.14</v>
      </c>
      <c r="P277" s="323">
        <f t="shared" si="90"/>
        <v>-7.9756</v>
      </c>
      <c r="Q277" s="204">
        <f t="shared" si="91"/>
        <v>-29.50972</v>
      </c>
      <c r="R277" s="323">
        <f t="shared" si="92"/>
        <v>0</v>
      </c>
      <c r="V277" s="204"/>
    </row>
    <row r="278" spans="1:22" s="8" customFormat="1" ht="15.75" customHeight="1">
      <c r="A278" s="10">
        <v>3</v>
      </c>
      <c r="B278" s="8" t="s">
        <v>475</v>
      </c>
      <c r="C278" s="10">
        <v>52468</v>
      </c>
      <c r="D278" s="337">
        <v>1</v>
      </c>
      <c r="E278" s="226">
        <v>6.9</v>
      </c>
      <c r="F278" s="323">
        <f t="shared" si="83"/>
        <v>6.9</v>
      </c>
      <c r="G278" s="339">
        <v>27.25</v>
      </c>
      <c r="H278" s="323">
        <f t="shared" si="84"/>
        <v>69.215</v>
      </c>
      <c r="I278" s="204">
        <f t="shared" si="85"/>
        <v>477.5835000000001</v>
      </c>
      <c r="J278" s="340">
        <v>0</v>
      </c>
      <c r="K278" s="204">
        <f t="shared" si="86"/>
        <v>0</v>
      </c>
      <c r="L278" s="341">
        <f t="shared" si="87"/>
        <v>27.25</v>
      </c>
      <c r="M278" s="323">
        <f t="shared" si="88"/>
        <v>69.215</v>
      </c>
      <c r="N278" s="204">
        <f t="shared" si="89"/>
        <v>0</v>
      </c>
      <c r="O278" s="342">
        <v>-2.43</v>
      </c>
      <c r="P278" s="323">
        <f t="shared" si="90"/>
        <v>-6.1722</v>
      </c>
      <c r="Q278" s="204">
        <f t="shared" si="91"/>
        <v>-42.58818</v>
      </c>
      <c r="R278" s="323">
        <f t="shared" si="92"/>
        <v>0</v>
      </c>
      <c r="V278" s="204"/>
    </row>
    <row r="279" spans="1:22" s="8" customFormat="1" ht="16.5" customHeight="1">
      <c r="A279" s="10">
        <v>3</v>
      </c>
      <c r="B279" s="443" t="s">
        <v>476</v>
      </c>
      <c r="C279" s="444">
        <v>52238</v>
      </c>
      <c r="D279" s="445">
        <v>1</v>
      </c>
      <c r="E279" s="446">
        <v>6488.5</v>
      </c>
      <c r="F279" s="447">
        <f t="shared" si="83"/>
        <v>6488.5</v>
      </c>
      <c r="G279" s="448">
        <f>32.32+stroke_2*6.031</f>
        <v>36.892086566829406</v>
      </c>
      <c r="H279" s="447">
        <f t="shared" si="84"/>
        <v>93.7058998797467</v>
      </c>
      <c r="I279" s="449">
        <f t="shared" si="85"/>
        <v>608010.7313697365</v>
      </c>
      <c r="J279" s="450">
        <v>0</v>
      </c>
      <c r="K279" s="449">
        <f t="shared" si="86"/>
        <v>0</v>
      </c>
      <c r="L279" s="451">
        <f t="shared" si="87"/>
        <v>36.892086566829406</v>
      </c>
      <c r="M279" s="447">
        <f t="shared" si="88"/>
        <v>93.7058998797467</v>
      </c>
      <c r="N279" s="449">
        <f t="shared" si="89"/>
        <v>0</v>
      </c>
      <c r="O279" s="452">
        <v>-0.333</v>
      </c>
      <c r="P279" s="447">
        <f t="shared" si="90"/>
        <v>-0.84582</v>
      </c>
      <c r="Q279" s="449">
        <f t="shared" si="91"/>
        <v>-5488.10307</v>
      </c>
      <c r="R279" s="447">
        <f t="shared" si="92"/>
        <v>0</v>
      </c>
      <c r="V279" s="204"/>
    </row>
    <row r="280" spans="1:22" s="8" customFormat="1" ht="16.5" customHeight="1">
      <c r="A280" s="10">
        <v>3</v>
      </c>
      <c r="B280" s="443" t="s">
        <v>477</v>
      </c>
      <c r="C280" s="453">
        <v>52496</v>
      </c>
      <c r="D280" s="445">
        <v>1</v>
      </c>
      <c r="E280" s="446">
        <v>1150.5</v>
      </c>
      <c r="F280" s="447">
        <f t="shared" si="83"/>
        <v>1150.5</v>
      </c>
      <c r="G280" s="448">
        <f>32.32+stroke_2*6.031</f>
        <v>36.892086566829406</v>
      </c>
      <c r="H280" s="447">
        <f t="shared" si="84"/>
        <v>93.7058998797467</v>
      </c>
      <c r="I280" s="449">
        <f t="shared" si="85"/>
        <v>107808.63781164857</v>
      </c>
      <c r="J280" s="450">
        <v>0</v>
      </c>
      <c r="K280" s="449">
        <f t="shared" si="86"/>
        <v>0</v>
      </c>
      <c r="L280" s="451">
        <f t="shared" si="87"/>
        <v>36.892086566829406</v>
      </c>
      <c r="M280" s="447">
        <f t="shared" si="88"/>
        <v>93.7058998797467</v>
      </c>
      <c r="N280" s="449">
        <f t="shared" si="89"/>
        <v>0</v>
      </c>
      <c r="O280" s="452">
        <v>-3.75</v>
      </c>
      <c r="P280" s="447">
        <f t="shared" si="90"/>
        <v>-9.525</v>
      </c>
      <c r="Q280" s="449">
        <f t="shared" si="91"/>
        <v>-10958.5125</v>
      </c>
      <c r="R280" s="447">
        <f t="shared" si="92"/>
        <v>0</v>
      </c>
      <c r="V280" s="204"/>
    </row>
    <row r="281" spans="1:22" s="257" customFormat="1" ht="16.5" customHeight="1">
      <c r="A281" s="10">
        <v>3</v>
      </c>
      <c r="B281" s="443" t="s">
        <v>478</v>
      </c>
      <c r="C281" s="444">
        <v>55228</v>
      </c>
      <c r="D281" s="445">
        <v>1</v>
      </c>
      <c r="E281" s="446">
        <v>4.8</v>
      </c>
      <c r="F281" s="447">
        <f t="shared" si="83"/>
        <v>4.8</v>
      </c>
      <c r="G281" s="448">
        <f>32.32+stroke_2*6.031</f>
        <v>36.892086566829406</v>
      </c>
      <c r="H281" s="447">
        <f t="shared" si="84"/>
        <v>93.7058998797467</v>
      </c>
      <c r="I281" s="449">
        <f t="shared" si="85"/>
        <v>449.7883194227841</v>
      </c>
      <c r="J281" s="450">
        <v>0</v>
      </c>
      <c r="K281" s="449">
        <f t="shared" si="86"/>
        <v>0</v>
      </c>
      <c r="L281" s="451">
        <f t="shared" si="87"/>
        <v>36.892086566829406</v>
      </c>
      <c r="M281" s="447">
        <f t="shared" si="88"/>
        <v>93.7058998797467</v>
      </c>
      <c r="N281" s="449">
        <f t="shared" si="89"/>
        <v>0</v>
      </c>
      <c r="O281" s="452">
        <v>-3.75</v>
      </c>
      <c r="P281" s="447">
        <f t="shared" si="90"/>
        <v>-9.525</v>
      </c>
      <c r="Q281" s="449">
        <f t="shared" si="91"/>
        <v>-45.72</v>
      </c>
      <c r="R281" s="447">
        <f t="shared" si="92"/>
        <v>0</v>
      </c>
      <c r="V281" s="229"/>
    </row>
    <row r="282" spans="1:22" s="8" customFormat="1" ht="18.75" customHeight="1">
      <c r="A282" s="10"/>
      <c r="C282" s="413"/>
      <c r="D282" s="337"/>
      <c r="E282" s="226"/>
      <c r="F282" s="323"/>
      <c r="G282" s="339"/>
      <c r="H282" s="323"/>
      <c r="I282" s="204"/>
      <c r="J282" s="340"/>
      <c r="K282" s="204"/>
      <c r="L282" s="341"/>
      <c r="M282" s="323"/>
      <c r="N282" s="204"/>
      <c r="O282" s="342"/>
      <c r="P282" s="323"/>
      <c r="Q282" s="204"/>
      <c r="R282" s="323"/>
      <c r="V282" s="204"/>
    </row>
    <row r="283" spans="1:22" s="8" customFormat="1" ht="16.5" customHeight="1">
      <c r="A283" s="10">
        <v>4</v>
      </c>
      <c r="B283" s="412" t="s">
        <v>479</v>
      </c>
      <c r="C283" s="454">
        <v>55484</v>
      </c>
      <c r="D283" s="455"/>
      <c r="E283" s="226"/>
      <c r="F283" s="10"/>
      <c r="G283" s="339"/>
      <c r="H283" s="323"/>
      <c r="I283" s="204"/>
      <c r="J283" s="340"/>
      <c r="K283" s="204"/>
      <c r="L283" s="341"/>
      <c r="M283" s="323"/>
      <c r="N283" s="204"/>
      <c r="O283" s="342"/>
      <c r="P283" s="323"/>
      <c r="Q283" s="204"/>
      <c r="R283" s="323"/>
      <c r="V283" s="204"/>
    </row>
    <row r="284" spans="1:22" s="8" customFormat="1" ht="16.5" customHeight="1">
      <c r="A284" s="10"/>
      <c r="B284" s="207" t="s">
        <v>248</v>
      </c>
      <c r="C284" s="323">
        <f>SUM(F286:F290)</f>
        <v>161.9</v>
      </c>
      <c r="D284" s="346" t="s">
        <v>177</v>
      </c>
      <c r="E284" s="367" t="s">
        <v>183</v>
      </c>
      <c r="F284" s="10"/>
      <c r="G284" s="339"/>
      <c r="H284" s="323"/>
      <c r="I284" s="204"/>
      <c r="J284" s="340"/>
      <c r="K284" s="204"/>
      <c r="L284" s="341"/>
      <c r="M284" s="323"/>
      <c r="N284" s="204"/>
      <c r="O284" s="342"/>
      <c r="P284" s="323"/>
      <c r="Q284" s="204"/>
      <c r="R284" s="323"/>
      <c r="V284" s="204"/>
    </row>
    <row r="285" spans="1:22" s="8" customFormat="1" ht="15.75" customHeight="1">
      <c r="A285" s="10"/>
      <c r="B285" s="207" t="s">
        <v>237</v>
      </c>
      <c r="C285" s="226">
        <v>161.9</v>
      </c>
      <c r="D285" s="346" t="s">
        <v>177</v>
      </c>
      <c r="E285" s="377">
        <f>C285-C284</f>
        <v>0</v>
      </c>
      <c r="F285" s="323"/>
      <c r="G285" s="339"/>
      <c r="H285" s="323"/>
      <c r="I285" s="204"/>
      <c r="J285" s="340"/>
      <c r="K285" s="204"/>
      <c r="L285" s="341"/>
      <c r="M285" s="323"/>
      <c r="N285" s="204"/>
      <c r="O285" s="342"/>
      <c r="P285" s="323"/>
      <c r="Q285" s="204"/>
      <c r="R285" s="323"/>
      <c r="V285" s="204"/>
    </row>
    <row r="286" spans="1:27" s="457" customFormat="1" ht="16.5" customHeight="1">
      <c r="A286" s="256">
        <v>5</v>
      </c>
      <c r="B286" s="257" t="s">
        <v>480</v>
      </c>
      <c r="C286" s="258">
        <v>52247</v>
      </c>
      <c r="D286" s="219">
        <v>1</v>
      </c>
      <c r="E286" s="226">
        <v>93.4</v>
      </c>
      <c r="F286" s="228">
        <f>E286*D286</f>
        <v>93.4</v>
      </c>
      <c r="G286" s="259">
        <v>26.84</v>
      </c>
      <c r="H286" s="228">
        <f>G286*2.54</f>
        <v>68.17360000000001</v>
      </c>
      <c r="I286" s="229">
        <f>F286*H286</f>
        <v>6367.414240000001</v>
      </c>
      <c r="J286" s="340">
        <v>0</v>
      </c>
      <c r="K286" s="229">
        <f>J286*D286</f>
        <v>0</v>
      </c>
      <c r="L286" s="261">
        <f>G286</f>
        <v>26.84</v>
      </c>
      <c r="M286" s="228">
        <f>L286*2.54</f>
        <v>68.17360000000001</v>
      </c>
      <c r="N286" s="204">
        <f>K286*M286</f>
        <v>0</v>
      </c>
      <c r="O286" s="231">
        <v>-0.5</v>
      </c>
      <c r="P286" s="228">
        <f>O286*2.54</f>
        <v>-1.27</v>
      </c>
      <c r="Q286" s="229">
        <f>F286*P286</f>
        <v>-118.61800000000001</v>
      </c>
      <c r="R286" s="228">
        <f>K286*P286</f>
        <v>0</v>
      </c>
      <c r="S286" s="257"/>
      <c r="T286" s="257"/>
      <c r="U286" s="257"/>
      <c r="V286" s="456"/>
      <c r="W286" s="257"/>
      <c r="X286" s="257"/>
      <c r="Y286" s="257"/>
      <c r="Z286" s="257"/>
      <c r="AA286" s="257"/>
    </row>
    <row r="287" spans="1:27" s="457" customFormat="1" ht="16.5" customHeight="1">
      <c r="A287" s="256">
        <v>5</v>
      </c>
      <c r="B287" s="257" t="s">
        <v>481</v>
      </c>
      <c r="C287" s="258">
        <v>52438</v>
      </c>
      <c r="D287" s="219">
        <v>1</v>
      </c>
      <c r="E287" s="226">
        <v>15.1</v>
      </c>
      <c r="F287" s="228">
        <f>E287*D287</f>
        <v>15.1</v>
      </c>
      <c r="G287" s="259">
        <v>26.84</v>
      </c>
      <c r="H287" s="228">
        <f>G287*2.54</f>
        <v>68.17360000000001</v>
      </c>
      <c r="I287" s="229">
        <f>F287*H287</f>
        <v>1029.42136</v>
      </c>
      <c r="J287" s="340">
        <v>0</v>
      </c>
      <c r="K287" s="229">
        <f>J287*D287</f>
        <v>0</v>
      </c>
      <c r="L287" s="261">
        <f>G287</f>
        <v>26.84</v>
      </c>
      <c r="M287" s="228">
        <f>L287*2.54</f>
        <v>68.17360000000001</v>
      </c>
      <c r="N287" s="204">
        <f>K287*M287</f>
        <v>0</v>
      </c>
      <c r="O287" s="231">
        <v>-0.5</v>
      </c>
      <c r="P287" s="228">
        <f>O287*2.54</f>
        <v>-1.27</v>
      </c>
      <c r="Q287" s="229">
        <f>F287*P287</f>
        <v>-19.177</v>
      </c>
      <c r="R287" s="228">
        <f>K287*P287</f>
        <v>0</v>
      </c>
      <c r="S287" s="257"/>
      <c r="T287" s="257"/>
      <c r="U287" s="257"/>
      <c r="V287" s="456"/>
      <c r="W287" s="257"/>
      <c r="X287" s="257"/>
      <c r="Y287" s="257"/>
      <c r="Z287" s="257"/>
      <c r="AA287" s="257"/>
    </row>
    <row r="288" spans="1:27" s="457" customFormat="1" ht="16.5" customHeight="1">
      <c r="A288" s="256">
        <v>5</v>
      </c>
      <c r="B288" s="257" t="s">
        <v>482</v>
      </c>
      <c r="C288" s="304" t="s">
        <v>483</v>
      </c>
      <c r="D288" s="219">
        <v>1</v>
      </c>
      <c r="E288" s="226">
        <v>51</v>
      </c>
      <c r="F288" s="228">
        <f>E288*D288</f>
        <v>51</v>
      </c>
      <c r="G288" s="259">
        <v>26.84</v>
      </c>
      <c r="H288" s="228">
        <f>G288*2.54</f>
        <v>68.17360000000001</v>
      </c>
      <c r="I288" s="229">
        <f>F288*H288</f>
        <v>3476.8536000000004</v>
      </c>
      <c r="J288" s="340">
        <v>0</v>
      </c>
      <c r="K288" s="229">
        <f>J288*D288</f>
        <v>0</v>
      </c>
      <c r="L288" s="261">
        <f>G288</f>
        <v>26.84</v>
      </c>
      <c r="M288" s="228">
        <f>L288*2.54</f>
        <v>68.17360000000001</v>
      </c>
      <c r="N288" s="204">
        <f>K288*M288</f>
        <v>0</v>
      </c>
      <c r="O288" s="231">
        <v>-0.5</v>
      </c>
      <c r="P288" s="228">
        <f>O288*2.54</f>
        <v>-1.27</v>
      </c>
      <c r="Q288" s="229">
        <f>F288*P288</f>
        <v>-64.77</v>
      </c>
      <c r="R288" s="228">
        <f>K288*P288</f>
        <v>0</v>
      </c>
      <c r="S288" s="257"/>
      <c r="T288" s="257"/>
      <c r="U288" s="458"/>
      <c r="V288" s="456"/>
      <c r="W288" s="257"/>
      <c r="X288" s="257"/>
      <c r="Y288" s="257"/>
      <c r="Z288" s="257"/>
      <c r="AA288" s="257"/>
    </row>
    <row r="289" spans="1:27" s="457" customFormat="1" ht="16.5" customHeight="1">
      <c r="A289" s="256">
        <v>5</v>
      </c>
      <c r="B289" s="257" t="s">
        <v>484</v>
      </c>
      <c r="C289" s="304" t="s">
        <v>353</v>
      </c>
      <c r="D289" s="219">
        <v>1</v>
      </c>
      <c r="E289" s="226">
        <v>1.9</v>
      </c>
      <c r="F289" s="228">
        <f>E289*D289</f>
        <v>1.9</v>
      </c>
      <c r="G289" s="259">
        <v>26.84</v>
      </c>
      <c r="H289" s="228">
        <f>G289*2.54</f>
        <v>68.17360000000001</v>
      </c>
      <c r="I289" s="229">
        <f>F289*H289</f>
        <v>129.52984</v>
      </c>
      <c r="J289" s="340">
        <v>0</v>
      </c>
      <c r="K289" s="229">
        <f>J289*D289</f>
        <v>0</v>
      </c>
      <c r="L289" s="261">
        <f>G289</f>
        <v>26.84</v>
      </c>
      <c r="M289" s="228">
        <f>L289*2.54</f>
        <v>68.17360000000001</v>
      </c>
      <c r="N289" s="204">
        <f>K289*M289</f>
        <v>0</v>
      </c>
      <c r="O289" s="231">
        <v>-0.5</v>
      </c>
      <c r="P289" s="228">
        <f>O289*2.54</f>
        <v>-1.27</v>
      </c>
      <c r="Q289" s="229">
        <f>F289*P289</f>
        <v>-2.413</v>
      </c>
      <c r="R289" s="228">
        <f>K289*P289</f>
        <v>0</v>
      </c>
      <c r="S289" s="257"/>
      <c r="T289" s="257"/>
      <c r="U289" s="257"/>
      <c r="V289" s="456"/>
      <c r="W289" s="257"/>
      <c r="X289" s="257"/>
      <c r="Y289" s="257"/>
      <c r="Z289" s="257"/>
      <c r="AA289" s="257"/>
    </row>
    <row r="290" spans="1:27" s="457" customFormat="1" ht="16.5" customHeight="1">
      <c r="A290" s="256">
        <v>5</v>
      </c>
      <c r="B290" s="257" t="s">
        <v>485</v>
      </c>
      <c r="C290" s="304" t="s">
        <v>486</v>
      </c>
      <c r="D290" s="219">
        <v>1</v>
      </c>
      <c r="E290" s="226">
        <v>0.5</v>
      </c>
      <c r="F290" s="228">
        <f>E290*D290</f>
        <v>0.5</v>
      </c>
      <c r="G290" s="259">
        <v>26.84</v>
      </c>
      <c r="H290" s="228">
        <f>G290*2.54</f>
        <v>68.17360000000001</v>
      </c>
      <c r="I290" s="229">
        <f>F290*H290</f>
        <v>34.086800000000004</v>
      </c>
      <c r="J290" s="340">
        <v>0</v>
      </c>
      <c r="K290" s="229">
        <f>J290*D290</f>
        <v>0</v>
      </c>
      <c r="L290" s="261">
        <f>G290</f>
        <v>26.84</v>
      </c>
      <c r="M290" s="228">
        <f>L290*2.54</f>
        <v>68.17360000000001</v>
      </c>
      <c r="N290" s="204">
        <f>K290*M290</f>
        <v>0</v>
      </c>
      <c r="O290" s="231">
        <v>-0.5</v>
      </c>
      <c r="P290" s="228">
        <f>O290*2.54</f>
        <v>-1.27</v>
      </c>
      <c r="Q290" s="229">
        <f>F290*P290</f>
        <v>-0.635</v>
      </c>
      <c r="R290" s="228">
        <f>K290*P290</f>
        <v>0</v>
      </c>
      <c r="S290" s="257"/>
      <c r="T290" s="257"/>
      <c r="U290" s="257"/>
      <c r="V290" s="456"/>
      <c r="W290" s="257"/>
      <c r="X290" s="257"/>
      <c r="Y290" s="257"/>
      <c r="Z290" s="257"/>
      <c r="AA290" s="257"/>
    </row>
    <row r="291" spans="1:22" s="8" customFormat="1" ht="18.75" customHeight="1">
      <c r="A291" s="10"/>
      <c r="C291" s="413"/>
      <c r="D291" s="337"/>
      <c r="E291" s="226"/>
      <c r="F291" s="323"/>
      <c r="G291" s="339"/>
      <c r="H291" s="323"/>
      <c r="I291" s="204"/>
      <c r="J291" s="340"/>
      <c r="K291" s="204"/>
      <c r="L291" s="341"/>
      <c r="M291" s="323"/>
      <c r="N291" s="204"/>
      <c r="O291" s="342"/>
      <c r="P291" s="323"/>
      <c r="Q291" s="204"/>
      <c r="R291" s="323"/>
      <c r="V291" s="204"/>
    </row>
    <row r="292" spans="1:22" s="8" customFormat="1" ht="16.5" customHeight="1">
      <c r="A292" s="10">
        <v>4</v>
      </c>
      <c r="B292" s="412" t="s">
        <v>487</v>
      </c>
      <c r="C292" s="454">
        <v>55485</v>
      </c>
      <c r="D292" s="455"/>
      <c r="E292" s="226"/>
      <c r="F292" s="10"/>
      <c r="G292" s="339"/>
      <c r="H292" s="323"/>
      <c r="I292" s="204"/>
      <c r="J292" s="340"/>
      <c r="K292" s="204"/>
      <c r="L292" s="341"/>
      <c r="M292" s="323"/>
      <c r="N292" s="204"/>
      <c r="O292" s="342"/>
      <c r="P292" s="323"/>
      <c r="Q292" s="204"/>
      <c r="R292" s="323"/>
      <c r="V292" s="204"/>
    </row>
    <row r="293" spans="1:22" s="8" customFormat="1" ht="16.5" customHeight="1">
      <c r="A293" s="10"/>
      <c r="B293" s="207" t="s">
        <v>248</v>
      </c>
      <c r="C293" s="323">
        <f>SUM(F295:F299)</f>
        <v>0</v>
      </c>
      <c r="D293" s="346" t="s">
        <v>177</v>
      </c>
      <c r="E293" s="367" t="s">
        <v>183</v>
      </c>
      <c r="F293" s="10"/>
      <c r="G293" s="339"/>
      <c r="H293" s="323"/>
      <c r="I293" s="204"/>
      <c r="J293" s="340"/>
      <c r="K293" s="204"/>
      <c r="L293" s="341"/>
      <c r="M293" s="323"/>
      <c r="N293" s="204"/>
      <c r="O293" s="342"/>
      <c r="P293" s="323"/>
      <c r="Q293" s="204"/>
      <c r="R293" s="323"/>
      <c r="V293" s="204"/>
    </row>
    <row r="294" spans="1:22" s="8" customFormat="1" ht="15.75" customHeight="1">
      <c r="A294" s="10"/>
      <c r="B294" s="207" t="s">
        <v>237</v>
      </c>
      <c r="C294" s="226">
        <v>0</v>
      </c>
      <c r="D294" s="346" t="s">
        <v>177</v>
      </c>
      <c r="E294" s="377">
        <f>C294-C293</f>
        <v>0</v>
      </c>
      <c r="F294" s="323"/>
      <c r="G294" s="339"/>
      <c r="H294" s="323"/>
      <c r="I294" s="204"/>
      <c r="J294" s="340"/>
      <c r="K294" s="204"/>
      <c r="L294" s="341"/>
      <c r="M294" s="323"/>
      <c r="N294" s="204"/>
      <c r="O294" s="342"/>
      <c r="P294" s="323"/>
      <c r="Q294" s="204"/>
      <c r="R294" s="323"/>
      <c r="V294" s="204"/>
    </row>
    <row r="295" spans="1:27" s="457" customFormat="1" ht="16.5" customHeight="1">
      <c r="A295" s="256">
        <v>5</v>
      </c>
      <c r="B295" s="257" t="s">
        <v>488</v>
      </c>
      <c r="C295" s="304" t="s">
        <v>489</v>
      </c>
      <c r="D295" s="219">
        <v>1</v>
      </c>
      <c r="E295" s="226">
        <v>0</v>
      </c>
      <c r="F295" s="228">
        <f>E295*D295</f>
        <v>0</v>
      </c>
      <c r="G295" s="259">
        <v>26.84</v>
      </c>
      <c r="H295" s="228">
        <f>G295*2.54</f>
        <v>68.17360000000001</v>
      </c>
      <c r="I295" s="229">
        <f>F295*H295</f>
        <v>0</v>
      </c>
      <c r="J295" s="340">
        <v>0</v>
      </c>
      <c r="K295" s="229">
        <f>J295*D295</f>
        <v>0</v>
      </c>
      <c r="L295" s="261">
        <f>G295</f>
        <v>26.84</v>
      </c>
      <c r="M295" s="228">
        <f>L295*2.54</f>
        <v>68.17360000000001</v>
      </c>
      <c r="N295" s="204">
        <f>K295*M295</f>
        <v>0</v>
      </c>
      <c r="O295" s="231">
        <v>-0.5</v>
      </c>
      <c r="P295" s="228">
        <f>O295*2.54</f>
        <v>-1.27</v>
      </c>
      <c r="Q295" s="229">
        <f>F295*P295</f>
        <v>0</v>
      </c>
      <c r="R295" s="228">
        <f>K295*P295</f>
        <v>0</v>
      </c>
      <c r="S295" s="257"/>
      <c r="T295" s="257"/>
      <c r="U295" s="257"/>
      <c r="V295" s="456"/>
      <c r="W295" s="257"/>
      <c r="X295" s="257"/>
      <c r="Y295" s="257"/>
      <c r="Z295" s="257"/>
      <c r="AA295" s="257"/>
    </row>
    <row r="296" spans="1:27" s="457" customFormat="1" ht="16.5" customHeight="1">
      <c r="A296" s="256">
        <v>5</v>
      </c>
      <c r="B296" s="257" t="s">
        <v>481</v>
      </c>
      <c r="C296" s="304" t="s">
        <v>490</v>
      </c>
      <c r="D296" s="219">
        <v>1</v>
      </c>
      <c r="E296" s="226">
        <v>0</v>
      </c>
      <c r="F296" s="228">
        <f>E296*D296</f>
        <v>0</v>
      </c>
      <c r="G296" s="259">
        <v>26.84</v>
      </c>
      <c r="H296" s="228">
        <f>G296*2.54</f>
        <v>68.17360000000001</v>
      </c>
      <c r="I296" s="229">
        <f>F296*H296</f>
        <v>0</v>
      </c>
      <c r="J296" s="340">
        <v>0</v>
      </c>
      <c r="K296" s="229">
        <f>J296*D296</f>
        <v>0</v>
      </c>
      <c r="L296" s="261">
        <f>G296</f>
        <v>26.84</v>
      </c>
      <c r="M296" s="228">
        <f>L296*2.54</f>
        <v>68.17360000000001</v>
      </c>
      <c r="N296" s="204">
        <f>K296*M296</f>
        <v>0</v>
      </c>
      <c r="O296" s="231">
        <v>-0.5</v>
      </c>
      <c r="P296" s="228">
        <f>O296*2.54</f>
        <v>-1.27</v>
      </c>
      <c r="Q296" s="229">
        <f>F296*P296</f>
        <v>0</v>
      </c>
      <c r="R296" s="228">
        <f>K296*P296</f>
        <v>0</v>
      </c>
      <c r="S296" s="257"/>
      <c r="T296" s="257"/>
      <c r="U296" s="257"/>
      <c r="V296" s="456"/>
      <c r="W296" s="257"/>
      <c r="X296" s="257"/>
      <c r="Y296" s="257"/>
      <c r="Z296" s="257"/>
      <c r="AA296" s="257"/>
    </row>
    <row r="297" spans="1:27" s="457" customFormat="1" ht="16.5" customHeight="1">
      <c r="A297" s="256">
        <v>5</v>
      </c>
      <c r="B297" s="257" t="s">
        <v>491</v>
      </c>
      <c r="C297" s="304" t="s">
        <v>492</v>
      </c>
      <c r="D297" s="219">
        <v>1</v>
      </c>
      <c r="E297" s="226">
        <v>0</v>
      </c>
      <c r="F297" s="228">
        <f>E297*D297</f>
        <v>0</v>
      </c>
      <c r="G297" s="259">
        <v>26.84</v>
      </c>
      <c r="H297" s="228">
        <f>G297*2.54</f>
        <v>68.17360000000001</v>
      </c>
      <c r="I297" s="229">
        <f>F297*H297</f>
        <v>0</v>
      </c>
      <c r="J297" s="340">
        <v>0</v>
      </c>
      <c r="K297" s="229">
        <f>J297*D297</f>
        <v>0</v>
      </c>
      <c r="L297" s="261">
        <f>G297</f>
        <v>26.84</v>
      </c>
      <c r="M297" s="228">
        <f>L297*2.54</f>
        <v>68.17360000000001</v>
      </c>
      <c r="N297" s="204">
        <f>K297*M297</f>
        <v>0</v>
      </c>
      <c r="O297" s="231">
        <v>-0.5</v>
      </c>
      <c r="P297" s="228">
        <f>O297*2.54</f>
        <v>-1.27</v>
      </c>
      <c r="Q297" s="229">
        <f>F297*P297</f>
        <v>0</v>
      </c>
      <c r="R297" s="228">
        <f>K297*P297</f>
        <v>0</v>
      </c>
      <c r="S297" s="257"/>
      <c r="T297" s="257"/>
      <c r="U297" s="458"/>
      <c r="V297" s="456"/>
      <c r="W297" s="257"/>
      <c r="X297" s="257"/>
      <c r="Y297" s="257"/>
      <c r="Z297" s="257"/>
      <c r="AA297" s="257"/>
    </row>
    <row r="298" spans="1:27" s="457" customFormat="1" ht="16.5" customHeight="1">
      <c r="A298" s="256">
        <v>5</v>
      </c>
      <c r="B298" s="257" t="s">
        <v>493</v>
      </c>
      <c r="C298" s="304" t="s">
        <v>353</v>
      </c>
      <c r="D298" s="219">
        <v>1</v>
      </c>
      <c r="E298" s="226">
        <v>0</v>
      </c>
      <c r="F298" s="228">
        <f>E298*D298</f>
        <v>0</v>
      </c>
      <c r="G298" s="259">
        <v>26.84</v>
      </c>
      <c r="H298" s="228">
        <f>G298*2.54</f>
        <v>68.17360000000001</v>
      </c>
      <c r="I298" s="229">
        <f>F298*H298</f>
        <v>0</v>
      </c>
      <c r="J298" s="340">
        <v>0</v>
      </c>
      <c r="K298" s="229">
        <f>J298*D298</f>
        <v>0</v>
      </c>
      <c r="L298" s="261">
        <f>G298</f>
        <v>26.84</v>
      </c>
      <c r="M298" s="228">
        <f>L298*2.54</f>
        <v>68.17360000000001</v>
      </c>
      <c r="N298" s="204">
        <f>K298*M298</f>
        <v>0</v>
      </c>
      <c r="O298" s="231">
        <v>-0.5</v>
      </c>
      <c r="P298" s="228">
        <f>O298*2.54</f>
        <v>-1.27</v>
      </c>
      <c r="Q298" s="229">
        <f>F298*P298</f>
        <v>0</v>
      </c>
      <c r="R298" s="228">
        <f>K298*P298</f>
        <v>0</v>
      </c>
      <c r="S298" s="257"/>
      <c r="T298" s="257"/>
      <c r="U298" s="257"/>
      <c r="V298" s="456"/>
      <c r="W298" s="257"/>
      <c r="X298" s="257"/>
      <c r="Y298" s="257"/>
      <c r="Z298" s="257"/>
      <c r="AA298" s="257"/>
    </row>
    <row r="299" spans="1:27" s="457" customFormat="1" ht="16.5" customHeight="1">
      <c r="A299" s="256">
        <v>5</v>
      </c>
      <c r="B299" s="257" t="s">
        <v>485</v>
      </c>
      <c r="C299" s="304" t="s">
        <v>486</v>
      </c>
      <c r="D299" s="219">
        <v>1</v>
      </c>
      <c r="E299" s="226">
        <v>0</v>
      </c>
      <c r="F299" s="228">
        <f>E299*D299</f>
        <v>0</v>
      </c>
      <c r="G299" s="259">
        <v>26.84</v>
      </c>
      <c r="H299" s="228">
        <f>G299*2.54</f>
        <v>68.17360000000001</v>
      </c>
      <c r="I299" s="229">
        <f>F299*H299</f>
        <v>0</v>
      </c>
      <c r="J299" s="340">
        <v>0</v>
      </c>
      <c r="K299" s="229">
        <f>J299*D299</f>
        <v>0</v>
      </c>
      <c r="L299" s="261">
        <f>G299</f>
        <v>26.84</v>
      </c>
      <c r="M299" s="228">
        <f>L299*2.54</f>
        <v>68.17360000000001</v>
      </c>
      <c r="N299" s="204">
        <f>K299*M299</f>
        <v>0</v>
      </c>
      <c r="O299" s="231">
        <v>-0.5</v>
      </c>
      <c r="P299" s="228">
        <f>O299*2.54</f>
        <v>-1.27</v>
      </c>
      <c r="Q299" s="229">
        <f>F299*P299</f>
        <v>0</v>
      </c>
      <c r="R299" s="228">
        <f>K299*P299</f>
        <v>0</v>
      </c>
      <c r="S299" s="257"/>
      <c r="T299" s="257"/>
      <c r="U299" s="257"/>
      <c r="V299" s="456"/>
      <c r="W299" s="257"/>
      <c r="X299" s="257"/>
      <c r="Y299" s="257"/>
      <c r="Z299" s="257"/>
      <c r="AA299" s="257"/>
    </row>
    <row r="300" spans="1:22" s="8" customFormat="1" ht="16.5" customHeight="1">
      <c r="A300" s="10"/>
      <c r="B300" s="301"/>
      <c r="C300" s="10"/>
      <c r="D300" s="337"/>
      <c r="E300" s="226"/>
      <c r="F300" s="323"/>
      <c r="G300" s="339"/>
      <c r="H300" s="323"/>
      <c r="I300" s="204"/>
      <c r="J300" s="340"/>
      <c r="K300" s="204"/>
      <c r="L300" s="341"/>
      <c r="M300" s="323"/>
      <c r="N300" s="204"/>
      <c r="O300" s="342"/>
      <c r="P300" s="323"/>
      <c r="Q300" s="204"/>
      <c r="R300" s="323"/>
      <c r="V300" s="204"/>
    </row>
    <row r="301" spans="1:22" s="8" customFormat="1" ht="16.5" customHeight="1">
      <c r="A301" s="10">
        <v>3</v>
      </c>
      <c r="B301" s="440" t="s">
        <v>494</v>
      </c>
      <c r="C301" s="459">
        <v>55531</v>
      </c>
      <c r="D301" s="346"/>
      <c r="E301" s="226"/>
      <c r="F301" s="435"/>
      <c r="G301" s="436"/>
      <c r="H301" s="435"/>
      <c r="I301" s="440"/>
      <c r="J301" s="325"/>
      <c r="K301" s="437"/>
      <c r="L301" s="438"/>
      <c r="M301" s="328"/>
      <c r="N301" s="224"/>
      <c r="O301" s="327"/>
      <c r="P301" s="328"/>
      <c r="Q301" s="224"/>
      <c r="R301" s="210"/>
      <c r="V301" s="204"/>
    </row>
    <row r="302" spans="1:22" s="8" customFormat="1" ht="16.5" customHeight="1">
      <c r="A302" s="10"/>
      <c r="B302" s="207" t="s">
        <v>248</v>
      </c>
      <c r="C302" s="323">
        <f>SUM(F304:F351)</f>
        <v>2917.6000000000013</v>
      </c>
      <c r="D302" s="346" t="s">
        <v>177</v>
      </c>
      <c r="E302" s="367" t="s">
        <v>183</v>
      </c>
      <c r="F302" s="435"/>
      <c r="G302" s="436"/>
      <c r="H302" s="435"/>
      <c r="I302" s="440"/>
      <c r="J302" s="325"/>
      <c r="K302" s="437"/>
      <c r="L302" s="438"/>
      <c r="M302" s="328"/>
      <c r="N302" s="224"/>
      <c r="O302" s="327"/>
      <c r="P302" s="328"/>
      <c r="Q302" s="224"/>
      <c r="R302" s="210"/>
      <c r="V302" s="204"/>
    </row>
    <row r="303" spans="1:22" s="8" customFormat="1" ht="16.5" customHeight="1">
      <c r="A303" s="10"/>
      <c r="B303" s="207" t="s">
        <v>237</v>
      </c>
      <c r="C303" s="226">
        <v>2920</v>
      </c>
      <c r="D303" s="346" t="s">
        <v>177</v>
      </c>
      <c r="E303" s="377">
        <f>C303-C302</f>
        <v>2.3999999999987267</v>
      </c>
      <c r="F303" s="435"/>
      <c r="G303" s="436"/>
      <c r="H303" s="435"/>
      <c r="I303" s="440"/>
      <c r="J303" s="325"/>
      <c r="K303" s="437"/>
      <c r="L303" s="438"/>
      <c r="M303" s="328"/>
      <c r="N303" s="224"/>
      <c r="O303" s="327"/>
      <c r="P303" s="328"/>
      <c r="Q303" s="224"/>
      <c r="R303" s="210"/>
      <c r="V303" s="204"/>
    </row>
    <row r="304" spans="1:22" s="8" customFormat="1" ht="16.5" customHeight="1">
      <c r="A304" s="10">
        <v>4</v>
      </c>
      <c r="B304" s="8" t="s">
        <v>495</v>
      </c>
      <c r="C304" s="413">
        <v>49822</v>
      </c>
      <c r="D304" s="337">
        <v>1</v>
      </c>
      <c r="E304" s="226">
        <v>30.7</v>
      </c>
      <c r="F304" s="323">
        <f aca="true" t="shared" si="93" ref="F304:F351">E304*D304</f>
        <v>30.7</v>
      </c>
      <c r="G304" s="339">
        <v>28.58</v>
      </c>
      <c r="H304" s="323">
        <f aca="true" t="shared" si="94" ref="H304:H351">G304*2.54</f>
        <v>72.5932</v>
      </c>
      <c r="I304" s="204">
        <f aca="true" t="shared" si="95" ref="I304:I351">F304*H304</f>
        <v>2228.6112399999997</v>
      </c>
      <c r="J304" s="340">
        <v>0</v>
      </c>
      <c r="K304" s="204">
        <f aca="true" t="shared" si="96" ref="K304:K351">J304*D304</f>
        <v>0</v>
      </c>
      <c r="L304" s="341">
        <f aca="true" t="shared" si="97" ref="L304:L351">G304</f>
        <v>28.58</v>
      </c>
      <c r="M304" s="323">
        <f aca="true" t="shared" si="98" ref="M304:M351">L304*2.54</f>
        <v>72.5932</v>
      </c>
      <c r="N304" s="204">
        <f aca="true" t="shared" si="99" ref="N304:N345">K304*M304</f>
        <v>0</v>
      </c>
      <c r="O304" s="342">
        <v>-2.18</v>
      </c>
      <c r="P304" s="323">
        <f aca="true" t="shared" si="100" ref="P304:P351">O304*2.54</f>
        <v>-5.5372</v>
      </c>
      <c r="Q304" s="204">
        <f aca="true" t="shared" si="101" ref="Q304:Q351">F304*P304</f>
        <v>-169.99204</v>
      </c>
      <c r="R304" s="323">
        <f aca="true" t="shared" si="102" ref="R304:R351">K304*P304</f>
        <v>0</v>
      </c>
      <c r="V304" s="204"/>
    </row>
    <row r="305" spans="1:22" s="8" customFormat="1" ht="16.5" customHeight="1">
      <c r="A305" s="10">
        <v>4</v>
      </c>
      <c r="B305" s="8" t="s">
        <v>496</v>
      </c>
      <c r="C305" s="413">
        <v>49822</v>
      </c>
      <c r="D305" s="337">
        <v>1</v>
      </c>
      <c r="E305" s="226">
        <v>30.7</v>
      </c>
      <c r="F305" s="323">
        <f t="shared" si="93"/>
        <v>30.7</v>
      </c>
      <c r="G305" s="339">
        <v>41.72</v>
      </c>
      <c r="H305" s="323">
        <f t="shared" si="94"/>
        <v>105.9688</v>
      </c>
      <c r="I305" s="204">
        <f t="shared" si="95"/>
        <v>3253.24216</v>
      </c>
      <c r="J305" s="340">
        <v>0</v>
      </c>
      <c r="K305" s="204">
        <f t="shared" si="96"/>
        <v>0</v>
      </c>
      <c r="L305" s="341">
        <f t="shared" si="97"/>
        <v>41.72</v>
      </c>
      <c r="M305" s="323">
        <f t="shared" si="98"/>
        <v>105.9688</v>
      </c>
      <c r="N305" s="204">
        <f t="shared" si="99"/>
        <v>0</v>
      </c>
      <c r="O305" s="342">
        <v>-2.18</v>
      </c>
      <c r="P305" s="323">
        <f t="shared" si="100"/>
        <v>-5.5372</v>
      </c>
      <c r="Q305" s="204">
        <f t="shared" si="101"/>
        <v>-169.99204</v>
      </c>
      <c r="R305" s="323">
        <f t="shared" si="102"/>
        <v>0</v>
      </c>
      <c r="V305" s="204"/>
    </row>
    <row r="306" spans="1:22" s="8" customFormat="1" ht="16.5" customHeight="1">
      <c r="A306" s="460">
        <v>4</v>
      </c>
      <c r="B306" s="443" t="s">
        <v>497</v>
      </c>
      <c r="C306" s="444">
        <v>55532</v>
      </c>
      <c r="D306" s="445">
        <v>1</v>
      </c>
      <c r="E306" s="446">
        <v>123</v>
      </c>
      <c r="F306" s="447">
        <f t="shared" si="93"/>
        <v>123</v>
      </c>
      <c r="G306" s="448">
        <f>32.32+stroke_2*6.031</f>
        <v>36.892086566829406</v>
      </c>
      <c r="H306" s="447">
        <f t="shared" si="94"/>
        <v>93.7058998797467</v>
      </c>
      <c r="I306" s="449">
        <f t="shared" si="95"/>
        <v>11525.825685208843</v>
      </c>
      <c r="J306" s="450">
        <v>0</v>
      </c>
      <c r="K306" s="449">
        <f t="shared" si="96"/>
        <v>0</v>
      </c>
      <c r="L306" s="451">
        <f t="shared" si="97"/>
        <v>36.892086566829406</v>
      </c>
      <c r="M306" s="447">
        <f t="shared" si="98"/>
        <v>93.7058998797467</v>
      </c>
      <c r="N306" s="449">
        <f t="shared" si="99"/>
        <v>0</v>
      </c>
      <c r="O306" s="452">
        <v>-1.75</v>
      </c>
      <c r="P306" s="447">
        <f t="shared" si="100"/>
        <v>-4.445</v>
      </c>
      <c r="Q306" s="449">
        <f t="shared" si="101"/>
        <v>-546.735</v>
      </c>
      <c r="R306" s="447">
        <f t="shared" si="102"/>
        <v>0</v>
      </c>
      <c r="V306" s="204"/>
    </row>
    <row r="307" spans="1:22" s="8" customFormat="1" ht="16.5" customHeight="1">
      <c r="A307" s="10">
        <v>4</v>
      </c>
      <c r="B307" s="8" t="s">
        <v>498</v>
      </c>
      <c r="C307" s="442">
        <v>52440</v>
      </c>
      <c r="D307" s="337">
        <v>1</v>
      </c>
      <c r="E307" s="226">
        <v>430.7</v>
      </c>
      <c r="F307" s="323">
        <f t="shared" si="93"/>
        <v>430.7</v>
      </c>
      <c r="G307" s="339">
        <v>35.2</v>
      </c>
      <c r="H307" s="323">
        <f t="shared" si="94"/>
        <v>89.40800000000002</v>
      </c>
      <c r="I307" s="204">
        <f t="shared" si="95"/>
        <v>38508.02560000001</v>
      </c>
      <c r="J307" s="340">
        <v>0</v>
      </c>
      <c r="K307" s="204">
        <f t="shared" si="96"/>
        <v>0</v>
      </c>
      <c r="L307" s="341">
        <f t="shared" si="97"/>
        <v>35.2</v>
      </c>
      <c r="M307" s="323">
        <f t="shared" si="98"/>
        <v>89.40800000000002</v>
      </c>
      <c r="N307" s="204">
        <f t="shared" si="99"/>
        <v>0</v>
      </c>
      <c r="O307" s="342">
        <v>-2.18</v>
      </c>
      <c r="P307" s="323">
        <f t="shared" si="100"/>
        <v>-5.5372</v>
      </c>
      <c r="Q307" s="204">
        <f t="shared" si="101"/>
        <v>-2384.87204</v>
      </c>
      <c r="R307" s="323">
        <f t="shared" si="102"/>
        <v>0</v>
      </c>
      <c r="V307" s="204"/>
    </row>
    <row r="308" spans="1:22" s="8" customFormat="1" ht="16.5" customHeight="1">
      <c r="A308" s="10">
        <v>4</v>
      </c>
      <c r="B308" s="8" t="s">
        <v>499</v>
      </c>
      <c r="C308" s="413" t="s">
        <v>500</v>
      </c>
      <c r="D308" s="337">
        <v>1</v>
      </c>
      <c r="E308" s="226">
        <v>8.6</v>
      </c>
      <c r="F308" s="323">
        <f t="shared" si="93"/>
        <v>8.6</v>
      </c>
      <c r="G308" s="339">
        <v>28.58</v>
      </c>
      <c r="H308" s="323">
        <f t="shared" si="94"/>
        <v>72.5932</v>
      </c>
      <c r="I308" s="204">
        <f t="shared" si="95"/>
        <v>624.30152</v>
      </c>
      <c r="J308" s="340">
        <v>0</v>
      </c>
      <c r="K308" s="204">
        <f t="shared" si="96"/>
        <v>0</v>
      </c>
      <c r="L308" s="341">
        <f t="shared" si="97"/>
        <v>28.58</v>
      </c>
      <c r="M308" s="323">
        <f t="shared" si="98"/>
        <v>72.5932</v>
      </c>
      <c r="N308" s="204">
        <f t="shared" si="99"/>
        <v>0</v>
      </c>
      <c r="O308" s="342">
        <v>-2.18</v>
      </c>
      <c r="P308" s="323">
        <f t="shared" si="100"/>
        <v>-5.5372</v>
      </c>
      <c r="Q308" s="204">
        <f t="shared" si="101"/>
        <v>-47.61992</v>
      </c>
      <c r="R308" s="323">
        <f t="shared" si="102"/>
        <v>0</v>
      </c>
      <c r="V308" s="204"/>
    </row>
    <row r="309" spans="1:22" s="8" customFormat="1" ht="16.5" customHeight="1">
      <c r="A309" s="10">
        <v>4</v>
      </c>
      <c r="B309" s="8" t="s">
        <v>501</v>
      </c>
      <c r="C309" s="413" t="s">
        <v>500</v>
      </c>
      <c r="D309" s="337">
        <v>1</v>
      </c>
      <c r="E309" s="226">
        <v>8.5</v>
      </c>
      <c r="F309" s="323">
        <f t="shared" si="93"/>
        <v>8.5</v>
      </c>
      <c r="G309" s="339">
        <v>41.72</v>
      </c>
      <c r="H309" s="323">
        <f t="shared" si="94"/>
        <v>105.9688</v>
      </c>
      <c r="I309" s="204">
        <f t="shared" si="95"/>
        <v>900.7348000000001</v>
      </c>
      <c r="J309" s="340">
        <v>0</v>
      </c>
      <c r="K309" s="204">
        <f t="shared" si="96"/>
        <v>0</v>
      </c>
      <c r="L309" s="341">
        <f t="shared" si="97"/>
        <v>41.72</v>
      </c>
      <c r="M309" s="323">
        <f t="shared" si="98"/>
        <v>105.9688</v>
      </c>
      <c r="N309" s="204">
        <f t="shared" si="99"/>
        <v>0</v>
      </c>
      <c r="O309" s="342">
        <v>-2.18</v>
      </c>
      <c r="P309" s="323">
        <f t="shared" si="100"/>
        <v>-5.5372</v>
      </c>
      <c r="Q309" s="204">
        <f t="shared" si="101"/>
        <v>-47.0662</v>
      </c>
      <c r="R309" s="323">
        <f t="shared" si="102"/>
        <v>0</v>
      </c>
      <c r="V309" s="204"/>
    </row>
    <row r="310" spans="1:22" s="257" customFormat="1" ht="16.5" customHeight="1">
      <c r="A310" s="460">
        <v>4</v>
      </c>
      <c r="B310" s="443" t="s">
        <v>502</v>
      </c>
      <c r="C310" s="453">
        <v>52492</v>
      </c>
      <c r="D310" s="445">
        <v>1</v>
      </c>
      <c r="E310" s="446">
        <v>166</v>
      </c>
      <c r="F310" s="447">
        <f t="shared" si="93"/>
        <v>166</v>
      </c>
      <c r="G310" s="448">
        <f>32.32+stroke_2*6.031</f>
        <v>36.892086566829406</v>
      </c>
      <c r="H310" s="447">
        <f t="shared" si="94"/>
        <v>93.7058998797467</v>
      </c>
      <c r="I310" s="449">
        <f t="shared" si="95"/>
        <v>15555.179380037951</v>
      </c>
      <c r="J310" s="450">
        <v>0</v>
      </c>
      <c r="K310" s="449">
        <f t="shared" si="96"/>
        <v>0</v>
      </c>
      <c r="L310" s="451">
        <f t="shared" si="97"/>
        <v>36.892086566829406</v>
      </c>
      <c r="M310" s="447">
        <f t="shared" si="98"/>
        <v>93.7058998797467</v>
      </c>
      <c r="N310" s="449">
        <f t="shared" si="99"/>
        <v>0</v>
      </c>
      <c r="O310" s="452">
        <v>-2.14</v>
      </c>
      <c r="P310" s="447">
        <f t="shared" si="100"/>
        <v>-5.4356</v>
      </c>
      <c r="Q310" s="449">
        <f t="shared" si="101"/>
        <v>-902.3096</v>
      </c>
      <c r="R310" s="447">
        <f t="shared" si="102"/>
        <v>0</v>
      </c>
      <c r="V310" s="229"/>
    </row>
    <row r="311" spans="1:22" s="8" customFormat="1" ht="16.5" customHeight="1">
      <c r="A311" s="460">
        <v>4</v>
      </c>
      <c r="B311" s="443" t="s">
        <v>503</v>
      </c>
      <c r="C311" s="444">
        <v>55202</v>
      </c>
      <c r="D311" s="445">
        <v>1</v>
      </c>
      <c r="E311" s="446">
        <v>6.2</v>
      </c>
      <c r="F311" s="447">
        <f t="shared" si="93"/>
        <v>6.2</v>
      </c>
      <c r="G311" s="448">
        <f>32.32+stroke_2*6.031</f>
        <v>36.892086566829406</v>
      </c>
      <c r="H311" s="447">
        <f t="shared" si="94"/>
        <v>93.7058998797467</v>
      </c>
      <c r="I311" s="449">
        <f t="shared" si="95"/>
        <v>580.9765792544296</v>
      </c>
      <c r="J311" s="450">
        <v>0</v>
      </c>
      <c r="K311" s="449">
        <f t="shared" si="96"/>
        <v>0</v>
      </c>
      <c r="L311" s="451">
        <f t="shared" si="97"/>
        <v>36.892086566829406</v>
      </c>
      <c r="M311" s="447">
        <f t="shared" si="98"/>
        <v>93.7058998797467</v>
      </c>
      <c r="N311" s="449">
        <f t="shared" si="99"/>
        <v>0</v>
      </c>
      <c r="O311" s="452">
        <v>-1.75</v>
      </c>
      <c r="P311" s="447">
        <f t="shared" si="100"/>
        <v>-4.445</v>
      </c>
      <c r="Q311" s="449">
        <f t="shared" si="101"/>
        <v>-27.559</v>
      </c>
      <c r="R311" s="447">
        <f t="shared" si="102"/>
        <v>0</v>
      </c>
      <c r="V311" s="204"/>
    </row>
    <row r="312" spans="1:22" s="8" customFormat="1" ht="16.5" customHeight="1">
      <c r="A312" s="460">
        <v>4</v>
      </c>
      <c r="B312" s="443" t="s">
        <v>504</v>
      </c>
      <c r="C312" s="453">
        <v>49869</v>
      </c>
      <c r="D312" s="445">
        <v>1</v>
      </c>
      <c r="E312" s="446">
        <v>110.8</v>
      </c>
      <c r="F312" s="447">
        <f t="shared" si="93"/>
        <v>110.8</v>
      </c>
      <c r="G312" s="448">
        <f>32.32+stroke_2*6.031-3.938</f>
        <v>32.9540865668294</v>
      </c>
      <c r="H312" s="447">
        <f t="shared" si="94"/>
        <v>83.70337987974669</v>
      </c>
      <c r="I312" s="449">
        <f t="shared" si="95"/>
        <v>9274.334490675934</v>
      </c>
      <c r="J312" s="450">
        <v>0</v>
      </c>
      <c r="K312" s="449">
        <f t="shared" si="96"/>
        <v>0</v>
      </c>
      <c r="L312" s="451">
        <f t="shared" si="97"/>
        <v>32.9540865668294</v>
      </c>
      <c r="M312" s="447">
        <f t="shared" si="98"/>
        <v>83.70337987974669</v>
      </c>
      <c r="N312" s="449">
        <f t="shared" si="99"/>
        <v>0</v>
      </c>
      <c r="O312" s="452">
        <v>-0.33</v>
      </c>
      <c r="P312" s="447">
        <f t="shared" si="100"/>
        <v>-0.8382000000000001</v>
      </c>
      <c r="Q312" s="449">
        <f t="shared" si="101"/>
        <v>-92.87256000000001</v>
      </c>
      <c r="R312" s="447">
        <f t="shared" si="102"/>
        <v>0</v>
      </c>
      <c r="V312" s="204"/>
    </row>
    <row r="313" spans="1:22" s="8" customFormat="1" ht="16.5" customHeight="1">
      <c r="A313" s="460">
        <v>4</v>
      </c>
      <c r="B313" s="443" t="s">
        <v>505</v>
      </c>
      <c r="C313" s="453">
        <v>49869</v>
      </c>
      <c r="D313" s="445">
        <v>1</v>
      </c>
      <c r="E313" s="446">
        <v>110.7</v>
      </c>
      <c r="F313" s="447">
        <f t="shared" si="93"/>
        <v>110.7</v>
      </c>
      <c r="G313" s="448">
        <f>32.32+stroke_2*6.031+3.938</f>
        <v>40.83008656682941</v>
      </c>
      <c r="H313" s="447">
        <f t="shared" si="94"/>
        <v>103.7084198797467</v>
      </c>
      <c r="I313" s="449">
        <f t="shared" si="95"/>
        <v>11480.52208068796</v>
      </c>
      <c r="J313" s="450">
        <v>0</v>
      </c>
      <c r="K313" s="449">
        <f t="shared" si="96"/>
        <v>0</v>
      </c>
      <c r="L313" s="451">
        <f t="shared" si="97"/>
        <v>40.83008656682941</v>
      </c>
      <c r="M313" s="447">
        <f t="shared" si="98"/>
        <v>103.7084198797467</v>
      </c>
      <c r="N313" s="449">
        <f t="shared" si="99"/>
        <v>0</v>
      </c>
      <c r="O313" s="452">
        <v>-0.33</v>
      </c>
      <c r="P313" s="447">
        <f t="shared" si="100"/>
        <v>-0.8382000000000001</v>
      </c>
      <c r="Q313" s="449">
        <f t="shared" si="101"/>
        <v>-92.78874</v>
      </c>
      <c r="R313" s="447">
        <f t="shared" si="102"/>
        <v>0</v>
      </c>
      <c r="V313" s="204"/>
    </row>
    <row r="314" spans="1:22" s="8" customFormat="1" ht="16.5" customHeight="1">
      <c r="A314" s="460">
        <v>4</v>
      </c>
      <c r="B314" s="443" t="s">
        <v>506</v>
      </c>
      <c r="C314" s="453" t="s">
        <v>507</v>
      </c>
      <c r="D314" s="445">
        <v>1</v>
      </c>
      <c r="E314" s="446">
        <v>4</v>
      </c>
      <c r="F314" s="447">
        <f t="shared" si="93"/>
        <v>4</v>
      </c>
      <c r="G314" s="448">
        <f>32.32+stroke_2*6.031</f>
        <v>36.892086566829406</v>
      </c>
      <c r="H314" s="447">
        <f t="shared" si="94"/>
        <v>93.7058998797467</v>
      </c>
      <c r="I314" s="449">
        <f t="shared" si="95"/>
        <v>374.8235995189868</v>
      </c>
      <c r="J314" s="450">
        <v>0</v>
      </c>
      <c r="K314" s="449">
        <f t="shared" si="96"/>
        <v>0</v>
      </c>
      <c r="L314" s="451">
        <f t="shared" si="97"/>
        <v>36.892086566829406</v>
      </c>
      <c r="M314" s="447">
        <f t="shared" si="98"/>
        <v>93.7058998797467</v>
      </c>
      <c r="N314" s="449">
        <f t="shared" si="99"/>
        <v>0</v>
      </c>
      <c r="O314" s="452">
        <v>-2.14</v>
      </c>
      <c r="P314" s="447">
        <f t="shared" si="100"/>
        <v>-5.4356</v>
      </c>
      <c r="Q314" s="449">
        <f t="shared" si="101"/>
        <v>-21.7424</v>
      </c>
      <c r="R314" s="447">
        <f t="shared" si="102"/>
        <v>0</v>
      </c>
      <c r="V314" s="204"/>
    </row>
    <row r="315" spans="1:22" s="8" customFormat="1" ht="16.5" customHeight="1">
      <c r="A315" s="10">
        <v>4</v>
      </c>
      <c r="B315" s="8" t="s">
        <v>508</v>
      </c>
      <c r="C315" s="413">
        <v>49824</v>
      </c>
      <c r="D315" s="337">
        <v>1</v>
      </c>
      <c r="E315" s="226">
        <v>280.5</v>
      </c>
      <c r="F315" s="323">
        <f t="shared" si="93"/>
        <v>280.5</v>
      </c>
      <c r="G315" s="339">
        <v>27.63</v>
      </c>
      <c r="H315" s="323">
        <f t="shared" si="94"/>
        <v>70.1802</v>
      </c>
      <c r="I315" s="204">
        <f t="shared" si="95"/>
        <v>19685.5461</v>
      </c>
      <c r="J315" s="340">
        <v>0</v>
      </c>
      <c r="K315" s="204">
        <f t="shared" si="96"/>
        <v>0</v>
      </c>
      <c r="L315" s="341">
        <f t="shared" si="97"/>
        <v>27.63</v>
      </c>
      <c r="M315" s="323">
        <f t="shared" si="98"/>
        <v>70.1802</v>
      </c>
      <c r="N315" s="204">
        <f t="shared" si="99"/>
        <v>0</v>
      </c>
      <c r="O315" s="342">
        <v>0</v>
      </c>
      <c r="P315" s="323">
        <f t="shared" si="100"/>
        <v>0</v>
      </c>
      <c r="Q315" s="204">
        <f t="shared" si="101"/>
        <v>0</v>
      </c>
      <c r="R315" s="323">
        <f t="shared" si="102"/>
        <v>0</v>
      </c>
      <c r="V315" s="204"/>
    </row>
    <row r="316" spans="1:22" s="8" customFormat="1" ht="16.5" customHeight="1">
      <c r="A316" s="10">
        <v>4</v>
      </c>
      <c r="B316" s="8" t="s">
        <v>509</v>
      </c>
      <c r="C316" s="413" t="s">
        <v>510</v>
      </c>
      <c r="D316" s="337">
        <v>1</v>
      </c>
      <c r="E316" s="226">
        <v>11.4</v>
      </c>
      <c r="F316" s="323">
        <f t="shared" si="93"/>
        <v>11.4</v>
      </c>
      <c r="G316" s="339">
        <v>27.75</v>
      </c>
      <c r="H316" s="323">
        <f t="shared" si="94"/>
        <v>70.485</v>
      </c>
      <c r="I316" s="204">
        <f t="shared" si="95"/>
        <v>803.529</v>
      </c>
      <c r="J316" s="340">
        <v>0</v>
      </c>
      <c r="K316" s="204">
        <f t="shared" si="96"/>
        <v>0</v>
      </c>
      <c r="L316" s="341">
        <f t="shared" si="97"/>
        <v>27.75</v>
      </c>
      <c r="M316" s="323">
        <f t="shared" si="98"/>
        <v>70.485</v>
      </c>
      <c r="N316" s="204">
        <f t="shared" si="99"/>
        <v>0</v>
      </c>
      <c r="O316" s="342">
        <v>3.25</v>
      </c>
      <c r="P316" s="323">
        <f t="shared" si="100"/>
        <v>8.255</v>
      </c>
      <c r="Q316" s="204">
        <f t="shared" si="101"/>
        <v>94.10700000000001</v>
      </c>
      <c r="R316" s="323">
        <f t="shared" si="102"/>
        <v>0</v>
      </c>
      <c r="V316" s="204"/>
    </row>
    <row r="317" spans="1:22" s="8" customFormat="1" ht="16.5" customHeight="1">
      <c r="A317" s="10">
        <v>4</v>
      </c>
      <c r="B317" s="8" t="s">
        <v>511</v>
      </c>
      <c r="C317" s="413" t="s">
        <v>512</v>
      </c>
      <c r="D317" s="337">
        <v>1</v>
      </c>
      <c r="E317" s="226">
        <v>1.2</v>
      </c>
      <c r="F317" s="323">
        <f t="shared" si="93"/>
        <v>1.2</v>
      </c>
      <c r="G317" s="339">
        <v>27.75</v>
      </c>
      <c r="H317" s="323">
        <f t="shared" si="94"/>
        <v>70.485</v>
      </c>
      <c r="I317" s="204">
        <f t="shared" si="95"/>
        <v>84.582</v>
      </c>
      <c r="J317" s="340">
        <v>0</v>
      </c>
      <c r="K317" s="204">
        <f t="shared" si="96"/>
        <v>0</v>
      </c>
      <c r="L317" s="341">
        <f t="shared" si="97"/>
        <v>27.75</v>
      </c>
      <c r="M317" s="323">
        <f t="shared" si="98"/>
        <v>70.485</v>
      </c>
      <c r="N317" s="204">
        <f t="shared" si="99"/>
        <v>0</v>
      </c>
      <c r="O317" s="342">
        <v>3.25</v>
      </c>
      <c r="P317" s="323">
        <f t="shared" si="100"/>
        <v>8.255</v>
      </c>
      <c r="Q317" s="204">
        <f t="shared" si="101"/>
        <v>9.906</v>
      </c>
      <c r="R317" s="323">
        <f t="shared" si="102"/>
        <v>0</v>
      </c>
      <c r="V317" s="204"/>
    </row>
    <row r="318" spans="1:22" s="8" customFormat="1" ht="16.5" customHeight="1">
      <c r="A318" s="10">
        <v>4</v>
      </c>
      <c r="B318" s="8" t="s">
        <v>513</v>
      </c>
      <c r="C318" s="413">
        <v>49821</v>
      </c>
      <c r="D318" s="337">
        <v>1</v>
      </c>
      <c r="E318" s="226">
        <v>96.9</v>
      </c>
      <c r="F318" s="323">
        <f t="shared" si="93"/>
        <v>96.9</v>
      </c>
      <c r="G318" s="339">
        <v>42.9</v>
      </c>
      <c r="H318" s="323">
        <f t="shared" si="94"/>
        <v>108.966</v>
      </c>
      <c r="I318" s="204">
        <f t="shared" si="95"/>
        <v>10558.8054</v>
      </c>
      <c r="J318" s="340">
        <v>0</v>
      </c>
      <c r="K318" s="204">
        <f t="shared" si="96"/>
        <v>0</v>
      </c>
      <c r="L318" s="341">
        <f t="shared" si="97"/>
        <v>42.9</v>
      </c>
      <c r="M318" s="323">
        <f t="shared" si="98"/>
        <v>108.966</v>
      </c>
      <c r="N318" s="204">
        <f t="shared" si="99"/>
        <v>0</v>
      </c>
      <c r="O318" s="342">
        <v>0</v>
      </c>
      <c r="P318" s="323">
        <f t="shared" si="100"/>
        <v>0</v>
      </c>
      <c r="Q318" s="204">
        <f t="shared" si="101"/>
        <v>0</v>
      </c>
      <c r="R318" s="323">
        <f t="shared" si="102"/>
        <v>0</v>
      </c>
      <c r="V318" s="204"/>
    </row>
    <row r="319" spans="1:22" s="8" customFormat="1" ht="16.5" customHeight="1">
      <c r="A319" s="10">
        <v>4</v>
      </c>
      <c r="B319" s="8" t="s">
        <v>514</v>
      </c>
      <c r="C319" s="413" t="s">
        <v>510</v>
      </c>
      <c r="D319" s="337">
        <v>1</v>
      </c>
      <c r="E319" s="226">
        <v>11.4</v>
      </c>
      <c r="F319" s="323">
        <f t="shared" si="93"/>
        <v>11.4</v>
      </c>
      <c r="G319" s="339">
        <v>42.72</v>
      </c>
      <c r="H319" s="323">
        <f t="shared" si="94"/>
        <v>108.5088</v>
      </c>
      <c r="I319" s="204">
        <f t="shared" si="95"/>
        <v>1237.0003199999999</v>
      </c>
      <c r="J319" s="340">
        <v>0</v>
      </c>
      <c r="K319" s="204">
        <f t="shared" si="96"/>
        <v>0</v>
      </c>
      <c r="L319" s="341">
        <f t="shared" si="97"/>
        <v>42.72</v>
      </c>
      <c r="M319" s="323">
        <f t="shared" si="98"/>
        <v>108.5088</v>
      </c>
      <c r="N319" s="204">
        <f t="shared" si="99"/>
        <v>0</v>
      </c>
      <c r="O319" s="342">
        <v>3.25</v>
      </c>
      <c r="P319" s="323">
        <f t="shared" si="100"/>
        <v>8.255</v>
      </c>
      <c r="Q319" s="204">
        <f t="shared" si="101"/>
        <v>94.10700000000001</v>
      </c>
      <c r="R319" s="323">
        <f t="shared" si="102"/>
        <v>0</v>
      </c>
      <c r="V319" s="204"/>
    </row>
    <row r="320" spans="1:22" s="8" customFormat="1" ht="16.5" customHeight="1">
      <c r="A320" s="10">
        <v>4</v>
      </c>
      <c r="B320" s="8" t="s">
        <v>515</v>
      </c>
      <c r="C320" s="413" t="s">
        <v>512</v>
      </c>
      <c r="D320" s="337">
        <v>1</v>
      </c>
      <c r="E320" s="226">
        <v>1.2</v>
      </c>
      <c r="F320" s="323">
        <f t="shared" si="93"/>
        <v>1.2</v>
      </c>
      <c r="G320" s="339">
        <v>42.72</v>
      </c>
      <c r="H320" s="323">
        <f t="shared" si="94"/>
        <v>108.5088</v>
      </c>
      <c r="I320" s="204">
        <f t="shared" si="95"/>
        <v>130.21056</v>
      </c>
      <c r="J320" s="340">
        <v>0</v>
      </c>
      <c r="K320" s="204">
        <f t="shared" si="96"/>
        <v>0</v>
      </c>
      <c r="L320" s="341">
        <f t="shared" si="97"/>
        <v>42.72</v>
      </c>
      <c r="M320" s="323">
        <f t="shared" si="98"/>
        <v>108.5088</v>
      </c>
      <c r="N320" s="204">
        <f t="shared" si="99"/>
        <v>0</v>
      </c>
      <c r="O320" s="342">
        <v>3.25</v>
      </c>
      <c r="P320" s="323">
        <f t="shared" si="100"/>
        <v>8.255</v>
      </c>
      <c r="Q320" s="204">
        <f t="shared" si="101"/>
        <v>9.906</v>
      </c>
      <c r="R320" s="323">
        <f t="shared" si="102"/>
        <v>0</v>
      </c>
      <c r="V320" s="204"/>
    </row>
    <row r="321" spans="1:22" s="8" customFormat="1" ht="16.5" customHeight="1">
      <c r="A321" s="10">
        <v>4</v>
      </c>
      <c r="B321" s="8" t="s">
        <v>516</v>
      </c>
      <c r="C321" s="413" t="s">
        <v>517</v>
      </c>
      <c r="D321" s="337">
        <v>1</v>
      </c>
      <c r="E321" s="226">
        <v>85.2</v>
      </c>
      <c r="F321" s="323">
        <f t="shared" si="93"/>
        <v>85.2</v>
      </c>
      <c r="G321" s="339">
        <v>27.72</v>
      </c>
      <c r="H321" s="323">
        <f t="shared" si="94"/>
        <v>70.4088</v>
      </c>
      <c r="I321" s="204">
        <f t="shared" si="95"/>
        <v>5998.8297600000005</v>
      </c>
      <c r="J321" s="340">
        <v>0</v>
      </c>
      <c r="K321" s="204">
        <f t="shared" si="96"/>
        <v>0</v>
      </c>
      <c r="L321" s="341">
        <f t="shared" si="97"/>
        <v>27.72</v>
      </c>
      <c r="M321" s="323">
        <f t="shared" si="98"/>
        <v>70.4088</v>
      </c>
      <c r="N321" s="204">
        <f t="shared" si="99"/>
        <v>0</v>
      </c>
      <c r="O321" s="342">
        <v>-2.6</v>
      </c>
      <c r="P321" s="323">
        <f t="shared" si="100"/>
        <v>-6.604</v>
      </c>
      <c r="Q321" s="204">
        <f t="shared" si="101"/>
        <v>-562.6608</v>
      </c>
      <c r="R321" s="323">
        <f t="shared" si="102"/>
        <v>0</v>
      </c>
      <c r="V321" s="204"/>
    </row>
    <row r="322" spans="1:22" s="8" customFormat="1" ht="16.5" customHeight="1">
      <c r="A322" s="10">
        <v>4</v>
      </c>
      <c r="B322" s="8" t="s">
        <v>518</v>
      </c>
      <c r="C322" s="413" t="s">
        <v>382</v>
      </c>
      <c r="D322" s="337">
        <v>1</v>
      </c>
      <c r="E322" s="226">
        <v>3</v>
      </c>
      <c r="F322" s="323">
        <f t="shared" si="93"/>
        <v>3</v>
      </c>
      <c r="G322" s="339">
        <v>27.7</v>
      </c>
      <c r="H322" s="323">
        <f t="shared" si="94"/>
        <v>70.358</v>
      </c>
      <c r="I322" s="204">
        <f t="shared" si="95"/>
        <v>211.074</v>
      </c>
      <c r="J322" s="340">
        <v>0</v>
      </c>
      <c r="K322" s="204">
        <f t="shared" si="96"/>
        <v>0</v>
      </c>
      <c r="L322" s="341">
        <f t="shared" si="97"/>
        <v>27.7</v>
      </c>
      <c r="M322" s="323">
        <f t="shared" si="98"/>
        <v>70.358</v>
      </c>
      <c r="N322" s="204">
        <f t="shared" si="99"/>
        <v>0</v>
      </c>
      <c r="O322" s="342">
        <v>-2.6</v>
      </c>
      <c r="P322" s="323">
        <f t="shared" si="100"/>
        <v>-6.604</v>
      </c>
      <c r="Q322" s="204">
        <f t="shared" si="101"/>
        <v>-19.812</v>
      </c>
      <c r="R322" s="323">
        <f t="shared" si="102"/>
        <v>0</v>
      </c>
      <c r="V322" s="204"/>
    </row>
    <row r="323" spans="1:22" s="8" customFormat="1" ht="16.5" customHeight="1">
      <c r="A323" s="10">
        <v>4</v>
      </c>
      <c r="B323" s="8" t="s">
        <v>519</v>
      </c>
      <c r="C323" s="413" t="s">
        <v>520</v>
      </c>
      <c r="D323" s="337">
        <v>1</v>
      </c>
      <c r="E323" s="226">
        <v>395.5</v>
      </c>
      <c r="F323" s="323">
        <f t="shared" si="93"/>
        <v>395.5</v>
      </c>
      <c r="G323" s="339">
        <v>27.57</v>
      </c>
      <c r="H323" s="323">
        <f t="shared" si="94"/>
        <v>70.0278</v>
      </c>
      <c r="I323" s="204">
        <f t="shared" si="95"/>
        <v>27695.994899999998</v>
      </c>
      <c r="J323" s="340">
        <v>0</v>
      </c>
      <c r="K323" s="204">
        <f t="shared" si="96"/>
        <v>0</v>
      </c>
      <c r="L323" s="341">
        <f t="shared" si="97"/>
        <v>27.57</v>
      </c>
      <c r="M323" s="323">
        <f t="shared" si="98"/>
        <v>70.0278</v>
      </c>
      <c r="N323" s="204">
        <f t="shared" si="99"/>
        <v>0</v>
      </c>
      <c r="O323" s="342">
        <v>0</v>
      </c>
      <c r="P323" s="323">
        <f t="shared" si="100"/>
        <v>0</v>
      </c>
      <c r="Q323" s="204">
        <f t="shared" si="101"/>
        <v>0</v>
      </c>
      <c r="R323" s="323">
        <f t="shared" si="102"/>
        <v>0</v>
      </c>
      <c r="V323" s="204"/>
    </row>
    <row r="324" spans="1:22" s="8" customFormat="1" ht="16.5" customHeight="1">
      <c r="A324" s="10">
        <v>4</v>
      </c>
      <c r="B324" s="8" t="s">
        <v>521</v>
      </c>
      <c r="C324" s="413" t="s">
        <v>522</v>
      </c>
      <c r="D324" s="337">
        <v>1</v>
      </c>
      <c r="E324" s="226">
        <v>328.1</v>
      </c>
      <c r="F324" s="323">
        <f t="shared" si="93"/>
        <v>328.1</v>
      </c>
      <c r="G324" s="339">
        <v>35.2</v>
      </c>
      <c r="H324" s="323">
        <f t="shared" si="94"/>
        <v>89.40800000000002</v>
      </c>
      <c r="I324" s="204">
        <f t="shared" si="95"/>
        <v>29334.764800000008</v>
      </c>
      <c r="J324" s="340">
        <v>0</v>
      </c>
      <c r="K324" s="204">
        <f t="shared" si="96"/>
        <v>0</v>
      </c>
      <c r="L324" s="341">
        <f t="shared" si="97"/>
        <v>35.2</v>
      </c>
      <c r="M324" s="323">
        <f t="shared" si="98"/>
        <v>89.40800000000002</v>
      </c>
      <c r="N324" s="204">
        <f t="shared" si="99"/>
        <v>0</v>
      </c>
      <c r="O324" s="342">
        <v>3.2</v>
      </c>
      <c r="P324" s="323">
        <f t="shared" si="100"/>
        <v>8.128</v>
      </c>
      <c r="Q324" s="204">
        <f t="shared" si="101"/>
        <v>2666.7968</v>
      </c>
      <c r="R324" s="323">
        <f t="shared" si="102"/>
        <v>0</v>
      </c>
      <c r="V324" s="204"/>
    </row>
    <row r="325" spans="1:22" s="8" customFormat="1" ht="16.5" customHeight="1">
      <c r="A325" s="10">
        <v>4</v>
      </c>
      <c r="B325" s="8" t="s">
        <v>523</v>
      </c>
      <c r="C325" s="413">
        <v>49853</v>
      </c>
      <c r="D325" s="337">
        <v>1</v>
      </c>
      <c r="E325" s="226">
        <v>45</v>
      </c>
      <c r="F325" s="323">
        <f t="shared" si="93"/>
        <v>45</v>
      </c>
      <c r="G325" s="339">
        <v>27.15</v>
      </c>
      <c r="H325" s="323">
        <f t="shared" si="94"/>
        <v>68.961</v>
      </c>
      <c r="I325" s="204">
        <f t="shared" si="95"/>
        <v>3103.245</v>
      </c>
      <c r="J325" s="340">
        <v>0</v>
      </c>
      <c r="K325" s="204">
        <f t="shared" si="96"/>
        <v>0</v>
      </c>
      <c r="L325" s="341">
        <f t="shared" si="97"/>
        <v>27.15</v>
      </c>
      <c r="M325" s="323">
        <f t="shared" si="98"/>
        <v>68.961</v>
      </c>
      <c r="N325" s="204">
        <f t="shared" si="99"/>
        <v>0</v>
      </c>
      <c r="O325" s="342">
        <v>3.23</v>
      </c>
      <c r="P325" s="323">
        <f t="shared" si="100"/>
        <v>8.2042</v>
      </c>
      <c r="Q325" s="204">
        <f t="shared" si="101"/>
        <v>369.189</v>
      </c>
      <c r="R325" s="323">
        <f t="shared" si="102"/>
        <v>0</v>
      </c>
      <c r="V325" s="204"/>
    </row>
    <row r="326" spans="1:22" s="8" customFormat="1" ht="16.5" customHeight="1">
      <c r="A326" s="10">
        <v>4</v>
      </c>
      <c r="B326" s="8" t="s">
        <v>524</v>
      </c>
      <c r="C326" s="413" t="s">
        <v>525</v>
      </c>
      <c r="D326" s="337">
        <v>1</v>
      </c>
      <c r="E326" s="226">
        <v>0.4</v>
      </c>
      <c r="F326" s="323">
        <f t="shared" si="93"/>
        <v>0.4</v>
      </c>
      <c r="G326" s="339">
        <v>27.34</v>
      </c>
      <c r="H326" s="323">
        <f t="shared" si="94"/>
        <v>69.4436</v>
      </c>
      <c r="I326" s="204">
        <f t="shared" si="95"/>
        <v>27.777440000000002</v>
      </c>
      <c r="J326" s="340">
        <v>0</v>
      </c>
      <c r="K326" s="204">
        <f t="shared" si="96"/>
        <v>0</v>
      </c>
      <c r="L326" s="341">
        <f t="shared" si="97"/>
        <v>27.34</v>
      </c>
      <c r="M326" s="323">
        <f t="shared" si="98"/>
        <v>69.4436</v>
      </c>
      <c r="N326" s="204">
        <f t="shared" si="99"/>
        <v>0</v>
      </c>
      <c r="O326" s="342">
        <v>3.225</v>
      </c>
      <c r="P326" s="323">
        <f t="shared" si="100"/>
        <v>8.1915</v>
      </c>
      <c r="Q326" s="204">
        <f t="shared" si="101"/>
        <v>3.2766</v>
      </c>
      <c r="R326" s="323">
        <f t="shared" si="102"/>
        <v>0</v>
      </c>
      <c r="V326" s="204"/>
    </row>
    <row r="327" spans="1:22" s="8" customFormat="1" ht="16.5" customHeight="1">
      <c r="A327" s="10">
        <v>4</v>
      </c>
      <c r="B327" s="8" t="s">
        <v>526</v>
      </c>
      <c r="C327" s="413">
        <v>49823</v>
      </c>
      <c r="D327" s="337">
        <v>1</v>
      </c>
      <c r="E327" s="226">
        <v>12.3</v>
      </c>
      <c r="F327" s="323">
        <f t="shared" si="93"/>
        <v>12.3</v>
      </c>
      <c r="G327" s="339">
        <v>27.57</v>
      </c>
      <c r="H327" s="323">
        <f t="shared" si="94"/>
        <v>70.0278</v>
      </c>
      <c r="I327" s="204">
        <f t="shared" si="95"/>
        <v>861.34194</v>
      </c>
      <c r="J327" s="340">
        <v>0</v>
      </c>
      <c r="K327" s="204">
        <f t="shared" si="96"/>
        <v>0</v>
      </c>
      <c r="L327" s="341">
        <f t="shared" si="97"/>
        <v>27.57</v>
      </c>
      <c r="M327" s="323">
        <f t="shared" si="98"/>
        <v>70.0278</v>
      </c>
      <c r="N327" s="204">
        <f t="shared" si="99"/>
        <v>0</v>
      </c>
      <c r="O327" s="342">
        <v>0</v>
      </c>
      <c r="P327" s="323">
        <f t="shared" si="100"/>
        <v>0</v>
      </c>
      <c r="Q327" s="204">
        <f t="shared" si="101"/>
        <v>0</v>
      </c>
      <c r="R327" s="323">
        <f t="shared" si="102"/>
        <v>0</v>
      </c>
      <c r="V327" s="204"/>
    </row>
    <row r="328" spans="1:22" s="8" customFormat="1" ht="16.5" customHeight="1">
      <c r="A328" s="10">
        <v>4</v>
      </c>
      <c r="B328" s="461" t="s">
        <v>527</v>
      </c>
      <c r="C328" s="420"/>
      <c r="D328" s="337">
        <v>1</v>
      </c>
      <c r="E328" s="226">
        <v>5.6</v>
      </c>
      <c r="F328" s="323">
        <f t="shared" si="93"/>
        <v>5.6</v>
      </c>
      <c r="G328" s="339">
        <v>27.57</v>
      </c>
      <c r="H328" s="323">
        <f t="shared" si="94"/>
        <v>70.0278</v>
      </c>
      <c r="I328" s="204">
        <f t="shared" si="95"/>
        <v>392.15567999999996</v>
      </c>
      <c r="J328" s="340">
        <v>0</v>
      </c>
      <c r="K328" s="204">
        <f t="shared" si="96"/>
        <v>0</v>
      </c>
      <c r="L328" s="341">
        <f t="shared" si="97"/>
        <v>27.57</v>
      </c>
      <c r="M328" s="323">
        <f t="shared" si="98"/>
        <v>70.0278</v>
      </c>
      <c r="N328" s="204">
        <f t="shared" si="99"/>
        <v>0</v>
      </c>
      <c r="O328" s="342">
        <v>0</v>
      </c>
      <c r="P328" s="323">
        <f t="shared" si="100"/>
        <v>0</v>
      </c>
      <c r="Q328" s="204">
        <f t="shared" si="101"/>
        <v>0</v>
      </c>
      <c r="R328" s="323">
        <f t="shared" si="102"/>
        <v>0</v>
      </c>
      <c r="V328" s="204"/>
    </row>
    <row r="329" spans="1:22" s="8" customFormat="1" ht="16.5" customHeight="1">
      <c r="A329" s="460">
        <v>4</v>
      </c>
      <c r="B329" s="443" t="s">
        <v>528</v>
      </c>
      <c r="C329" s="453" t="s">
        <v>529</v>
      </c>
      <c r="D329" s="445">
        <v>1</v>
      </c>
      <c r="E329" s="446">
        <v>216</v>
      </c>
      <c r="F329" s="447">
        <f t="shared" si="93"/>
        <v>216</v>
      </c>
      <c r="G329" s="448">
        <f>32.32+stroke_2*6.031</f>
        <v>36.892086566829406</v>
      </c>
      <c r="H329" s="447">
        <f t="shared" si="94"/>
        <v>93.7058998797467</v>
      </c>
      <c r="I329" s="449">
        <f t="shared" si="95"/>
        <v>20240.474374025285</v>
      </c>
      <c r="J329" s="450">
        <v>0</v>
      </c>
      <c r="K329" s="449">
        <f t="shared" si="96"/>
        <v>0</v>
      </c>
      <c r="L329" s="451">
        <f t="shared" si="97"/>
        <v>36.892086566829406</v>
      </c>
      <c r="M329" s="447">
        <f t="shared" si="98"/>
        <v>93.7058998797467</v>
      </c>
      <c r="N329" s="449">
        <f t="shared" si="99"/>
        <v>0</v>
      </c>
      <c r="O329" s="452">
        <v>3.2</v>
      </c>
      <c r="P329" s="447">
        <f t="shared" si="100"/>
        <v>8.128</v>
      </c>
      <c r="Q329" s="449">
        <f t="shared" si="101"/>
        <v>1755.6480000000001</v>
      </c>
      <c r="R329" s="447">
        <f t="shared" si="102"/>
        <v>0</v>
      </c>
      <c r="V329" s="204"/>
    </row>
    <row r="330" spans="1:22" s="8" customFormat="1" ht="16.5" customHeight="1">
      <c r="A330" s="460">
        <v>4</v>
      </c>
      <c r="B330" s="443" t="s">
        <v>530</v>
      </c>
      <c r="C330" s="453">
        <v>52375</v>
      </c>
      <c r="D330" s="445">
        <v>1</v>
      </c>
      <c r="E330" s="446">
        <v>14.3</v>
      </c>
      <c r="F330" s="447">
        <f t="shared" si="93"/>
        <v>14.3</v>
      </c>
      <c r="G330" s="448">
        <f>32.32+stroke_2*6.031</f>
        <v>36.892086566829406</v>
      </c>
      <c r="H330" s="447">
        <f t="shared" si="94"/>
        <v>93.7058998797467</v>
      </c>
      <c r="I330" s="449">
        <f t="shared" si="95"/>
        <v>1339.9943682803778</v>
      </c>
      <c r="J330" s="450">
        <v>0</v>
      </c>
      <c r="K330" s="449">
        <f t="shared" si="96"/>
        <v>0</v>
      </c>
      <c r="L330" s="451">
        <f t="shared" si="97"/>
        <v>36.892086566829406</v>
      </c>
      <c r="M330" s="447">
        <f t="shared" si="98"/>
        <v>93.7058998797467</v>
      </c>
      <c r="N330" s="449">
        <f t="shared" si="99"/>
        <v>0</v>
      </c>
      <c r="O330" s="452">
        <v>2.9</v>
      </c>
      <c r="P330" s="447">
        <f t="shared" si="100"/>
        <v>7.366</v>
      </c>
      <c r="Q330" s="449">
        <f t="shared" si="101"/>
        <v>105.3338</v>
      </c>
      <c r="R330" s="447">
        <f t="shared" si="102"/>
        <v>0</v>
      </c>
      <c r="V330" s="204"/>
    </row>
    <row r="331" spans="1:22" s="8" customFormat="1" ht="16.5" customHeight="1">
      <c r="A331" s="10">
        <v>4</v>
      </c>
      <c r="B331" s="8" t="s">
        <v>531</v>
      </c>
      <c r="C331" s="413" t="s">
        <v>532</v>
      </c>
      <c r="D331" s="337">
        <v>1</v>
      </c>
      <c r="E331" s="226">
        <v>9.3</v>
      </c>
      <c r="F331" s="323">
        <f t="shared" si="93"/>
        <v>9.3</v>
      </c>
      <c r="G331" s="339">
        <v>28.58</v>
      </c>
      <c r="H331" s="323">
        <f t="shared" si="94"/>
        <v>72.5932</v>
      </c>
      <c r="I331" s="204">
        <f t="shared" si="95"/>
        <v>675.11676</v>
      </c>
      <c r="J331" s="340">
        <v>0</v>
      </c>
      <c r="K331" s="204">
        <f t="shared" si="96"/>
        <v>0</v>
      </c>
      <c r="L331" s="341">
        <f t="shared" si="97"/>
        <v>28.58</v>
      </c>
      <c r="M331" s="323">
        <f t="shared" si="98"/>
        <v>72.5932</v>
      </c>
      <c r="N331" s="204">
        <f t="shared" si="99"/>
        <v>0</v>
      </c>
      <c r="O331" s="342">
        <v>-2.18</v>
      </c>
      <c r="P331" s="323">
        <f t="shared" si="100"/>
        <v>-5.5372</v>
      </c>
      <c r="Q331" s="204">
        <f t="shared" si="101"/>
        <v>-51.495960000000004</v>
      </c>
      <c r="R331" s="323">
        <f t="shared" si="102"/>
        <v>0</v>
      </c>
      <c r="V331" s="204"/>
    </row>
    <row r="332" spans="1:22" s="8" customFormat="1" ht="16.5" customHeight="1">
      <c r="A332" s="10">
        <v>4</v>
      </c>
      <c r="B332" s="8" t="s">
        <v>533</v>
      </c>
      <c r="C332" s="413" t="s">
        <v>532</v>
      </c>
      <c r="D332" s="337">
        <v>1</v>
      </c>
      <c r="E332" s="226">
        <v>9.3</v>
      </c>
      <c r="F332" s="323">
        <f t="shared" si="93"/>
        <v>9.3</v>
      </c>
      <c r="G332" s="339">
        <v>41.72</v>
      </c>
      <c r="H332" s="323">
        <f t="shared" si="94"/>
        <v>105.9688</v>
      </c>
      <c r="I332" s="204">
        <f t="shared" si="95"/>
        <v>985.50984</v>
      </c>
      <c r="J332" s="340">
        <v>0</v>
      </c>
      <c r="K332" s="204">
        <f t="shared" si="96"/>
        <v>0</v>
      </c>
      <c r="L332" s="341">
        <f t="shared" si="97"/>
        <v>41.72</v>
      </c>
      <c r="M332" s="323">
        <f t="shared" si="98"/>
        <v>105.9688</v>
      </c>
      <c r="N332" s="204">
        <f t="shared" si="99"/>
        <v>0</v>
      </c>
      <c r="O332" s="342">
        <v>-2.18</v>
      </c>
      <c r="P332" s="323">
        <f t="shared" si="100"/>
        <v>-5.5372</v>
      </c>
      <c r="Q332" s="204">
        <f t="shared" si="101"/>
        <v>-51.495960000000004</v>
      </c>
      <c r="R332" s="323">
        <f t="shared" si="102"/>
        <v>0</v>
      </c>
      <c r="V332" s="204"/>
    </row>
    <row r="333" spans="1:22" s="8" customFormat="1" ht="16.5" customHeight="1">
      <c r="A333" s="10">
        <v>4</v>
      </c>
      <c r="B333" s="8" t="s">
        <v>534</v>
      </c>
      <c r="C333" s="413" t="s">
        <v>535</v>
      </c>
      <c r="D333" s="337">
        <v>1</v>
      </c>
      <c r="E333" s="226">
        <v>0.1</v>
      </c>
      <c r="F333" s="323">
        <f t="shared" si="93"/>
        <v>0.1</v>
      </c>
      <c r="G333" s="339">
        <v>42.72</v>
      </c>
      <c r="H333" s="323">
        <f t="shared" si="94"/>
        <v>108.5088</v>
      </c>
      <c r="I333" s="204">
        <f t="shared" si="95"/>
        <v>10.85088</v>
      </c>
      <c r="J333" s="340">
        <v>0</v>
      </c>
      <c r="K333" s="204">
        <f t="shared" si="96"/>
        <v>0</v>
      </c>
      <c r="L333" s="341">
        <f t="shared" si="97"/>
        <v>42.72</v>
      </c>
      <c r="M333" s="323">
        <f t="shared" si="98"/>
        <v>108.5088</v>
      </c>
      <c r="N333" s="204">
        <f t="shared" si="99"/>
        <v>0</v>
      </c>
      <c r="O333" s="342">
        <v>3.25</v>
      </c>
      <c r="P333" s="323">
        <f t="shared" si="100"/>
        <v>8.255</v>
      </c>
      <c r="Q333" s="204">
        <f t="shared" si="101"/>
        <v>0.8255000000000001</v>
      </c>
      <c r="R333" s="323">
        <f t="shared" si="102"/>
        <v>0</v>
      </c>
      <c r="V333" s="204"/>
    </row>
    <row r="334" spans="1:22" s="8" customFormat="1" ht="16.5" customHeight="1">
      <c r="A334" s="460">
        <v>4</v>
      </c>
      <c r="B334" s="443" t="s">
        <v>536</v>
      </c>
      <c r="C334" s="453" t="s">
        <v>537</v>
      </c>
      <c r="D334" s="445">
        <v>1</v>
      </c>
      <c r="E334" s="446">
        <v>167</v>
      </c>
      <c r="F334" s="447">
        <f t="shared" si="93"/>
        <v>167</v>
      </c>
      <c r="G334" s="448">
        <f>32.32+stroke_2*6.031</f>
        <v>36.892086566829406</v>
      </c>
      <c r="H334" s="447">
        <f t="shared" si="94"/>
        <v>93.7058998797467</v>
      </c>
      <c r="I334" s="449">
        <f t="shared" si="95"/>
        <v>15648.885279917698</v>
      </c>
      <c r="J334" s="450">
        <v>0</v>
      </c>
      <c r="K334" s="449">
        <f t="shared" si="96"/>
        <v>0</v>
      </c>
      <c r="L334" s="451">
        <f t="shared" si="97"/>
        <v>36.892086566829406</v>
      </c>
      <c r="M334" s="447">
        <f t="shared" si="98"/>
        <v>93.7058998797467</v>
      </c>
      <c r="N334" s="449">
        <f t="shared" si="99"/>
        <v>0</v>
      </c>
      <c r="O334" s="452">
        <v>2.78</v>
      </c>
      <c r="P334" s="447">
        <f t="shared" si="100"/>
        <v>7.0611999999999995</v>
      </c>
      <c r="Q334" s="449">
        <f t="shared" si="101"/>
        <v>1179.2204</v>
      </c>
      <c r="R334" s="447">
        <f t="shared" si="102"/>
        <v>0</v>
      </c>
      <c r="V334" s="204"/>
    </row>
    <row r="335" spans="1:22" s="8" customFormat="1" ht="16.5" customHeight="1">
      <c r="A335" s="460">
        <v>4</v>
      </c>
      <c r="B335" s="443" t="s">
        <v>538</v>
      </c>
      <c r="C335" s="453" t="s">
        <v>539</v>
      </c>
      <c r="D335" s="445">
        <v>1</v>
      </c>
      <c r="E335" s="446">
        <v>3.7</v>
      </c>
      <c r="F335" s="447">
        <f t="shared" si="93"/>
        <v>3.7</v>
      </c>
      <c r="G335" s="448">
        <f>32.32+stroke_2*6.031</f>
        <v>36.892086566829406</v>
      </c>
      <c r="H335" s="447">
        <f t="shared" si="94"/>
        <v>93.7058998797467</v>
      </c>
      <c r="I335" s="449">
        <f t="shared" si="95"/>
        <v>346.71182955506276</v>
      </c>
      <c r="J335" s="450">
        <v>0</v>
      </c>
      <c r="K335" s="449">
        <f t="shared" si="96"/>
        <v>0</v>
      </c>
      <c r="L335" s="451">
        <f t="shared" si="97"/>
        <v>36.892086566829406</v>
      </c>
      <c r="M335" s="447">
        <f t="shared" si="98"/>
        <v>93.7058998797467</v>
      </c>
      <c r="N335" s="449">
        <f t="shared" si="99"/>
        <v>0</v>
      </c>
      <c r="O335" s="452">
        <v>-2.14</v>
      </c>
      <c r="P335" s="447">
        <f t="shared" si="100"/>
        <v>-5.4356</v>
      </c>
      <c r="Q335" s="449">
        <f t="shared" si="101"/>
        <v>-20.111720000000002</v>
      </c>
      <c r="R335" s="447">
        <f t="shared" si="102"/>
        <v>0</v>
      </c>
      <c r="V335" s="204"/>
    </row>
    <row r="336" spans="1:22" s="8" customFormat="1" ht="16.5" customHeight="1">
      <c r="A336" s="460">
        <v>4</v>
      </c>
      <c r="B336" s="443" t="s">
        <v>540</v>
      </c>
      <c r="C336" s="453" t="s">
        <v>541</v>
      </c>
      <c r="D336" s="445">
        <v>1</v>
      </c>
      <c r="E336" s="446">
        <v>3.1</v>
      </c>
      <c r="F336" s="447">
        <f t="shared" si="93"/>
        <v>3.1</v>
      </c>
      <c r="G336" s="448">
        <f>32.32+stroke_2*6.031</f>
        <v>36.892086566829406</v>
      </c>
      <c r="H336" s="447">
        <f t="shared" si="94"/>
        <v>93.7058998797467</v>
      </c>
      <c r="I336" s="449">
        <f t="shared" si="95"/>
        <v>290.4882896272148</v>
      </c>
      <c r="J336" s="450">
        <v>0</v>
      </c>
      <c r="K336" s="449">
        <f t="shared" si="96"/>
        <v>0</v>
      </c>
      <c r="L336" s="451">
        <f t="shared" si="97"/>
        <v>36.892086566829406</v>
      </c>
      <c r="M336" s="447">
        <f t="shared" si="98"/>
        <v>93.7058998797467</v>
      </c>
      <c r="N336" s="449">
        <f t="shared" si="99"/>
        <v>0</v>
      </c>
      <c r="O336" s="452">
        <v>2.9</v>
      </c>
      <c r="P336" s="447">
        <f t="shared" si="100"/>
        <v>7.366</v>
      </c>
      <c r="Q336" s="449">
        <f t="shared" si="101"/>
        <v>22.8346</v>
      </c>
      <c r="R336" s="447">
        <f t="shared" si="102"/>
        <v>0</v>
      </c>
      <c r="V336" s="204"/>
    </row>
    <row r="337" spans="1:22" s="8" customFormat="1" ht="16.5" customHeight="1">
      <c r="A337" s="10">
        <v>4</v>
      </c>
      <c r="B337" s="8" t="s">
        <v>542</v>
      </c>
      <c r="C337" s="413">
        <v>52286</v>
      </c>
      <c r="D337" s="337">
        <v>1</v>
      </c>
      <c r="E337" s="226">
        <v>70.7</v>
      </c>
      <c r="F337" s="323">
        <f t="shared" si="93"/>
        <v>70.7</v>
      </c>
      <c r="G337" s="339">
        <v>27.06</v>
      </c>
      <c r="H337" s="323">
        <f t="shared" si="94"/>
        <v>68.7324</v>
      </c>
      <c r="I337" s="204">
        <f t="shared" si="95"/>
        <v>4859.38068</v>
      </c>
      <c r="J337" s="340">
        <v>0</v>
      </c>
      <c r="K337" s="204">
        <f t="shared" si="96"/>
        <v>0</v>
      </c>
      <c r="L337" s="341">
        <f t="shared" si="97"/>
        <v>27.06</v>
      </c>
      <c r="M337" s="323">
        <f t="shared" si="98"/>
        <v>68.7324</v>
      </c>
      <c r="N337" s="204">
        <f t="shared" si="99"/>
        <v>0</v>
      </c>
      <c r="O337" s="342">
        <v>2.35</v>
      </c>
      <c r="P337" s="323">
        <f t="shared" si="100"/>
        <v>5.969</v>
      </c>
      <c r="Q337" s="204">
        <f t="shared" si="101"/>
        <v>422.0083</v>
      </c>
      <c r="R337" s="323">
        <f t="shared" si="102"/>
        <v>0</v>
      </c>
      <c r="V337" s="204"/>
    </row>
    <row r="338" spans="1:22" s="8" customFormat="1" ht="16.5" customHeight="1">
      <c r="A338" s="10">
        <v>4</v>
      </c>
      <c r="B338" s="8" t="s">
        <v>543</v>
      </c>
      <c r="C338" s="413">
        <v>49850</v>
      </c>
      <c r="D338" s="337">
        <v>1</v>
      </c>
      <c r="E338" s="226">
        <v>1.4</v>
      </c>
      <c r="F338" s="323">
        <f t="shared" si="93"/>
        <v>1.4</v>
      </c>
      <c r="G338" s="339">
        <v>27.06</v>
      </c>
      <c r="H338" s="323">
        <f t="shared" si="94"/>
        <v>68.7324</v>
      </c>
      <c r="I338" s="204">
        <f t="shared" si="95"/>
        <v>96.22536</v>
      </c>
      <c r="J338" s="340">
        <v>0</v>
      </c>
      <c r="K338" s="204">
        <f t="shared" si="96"/>
        <v>0</v>
      </c>
      <c r="L338" s="341">
        <f t="shared" si="97"/>
        <v>27.06</v>
      </c>
      <c r="M338" s="323">
        <f t="shared" si="98"/>
        <v>68.7324</v>
      </c>
      <c r="N338" s="204">
        <f t="shared" si="99"/>
        <v>0</v>
      </c>
      <c r="O338" s="342">
        <v>2.35</v>
      </c>
      <c r="P338" s="323">
        <f t="shared" si="100"/>
        <v>5.969</v>
      </c>
      <c r="Q338" s="204">
        <f t="shared" si="101"/>
        <v>8.3566</v>
      </c>
      <c r="R338" s="323">
        <f t="shared" si="102"/>
        <v>0</v>
      </c>
      <c r="V338" s="204"/>
    </row>
    <row r="339" spans="1:22" s="8" customFormat="1" ht="16.5" customHeight="1">
      <c r="A339" s="10">
        <v>4</v>
      </c>
      <c r="B339" s="8" t="s">
        <v>544</v>
      </c>
      <c r="C339" s="413" t="s">
        <v>545</v>
      </c>
      <c r="D339" s="337">
        <v>1</v>
      </c>
      <c r="E339" s="226">
        <v>0.4</v>
      </c>
      <c r="F339" s="323">
        <f t="shared" si="93"/>
        <v>0.4</v>
      </c>
      <c r="G339" s="339">
        <v>27.06</v>
      </c>
      <c r="H339" s="323">
        <f t="shared" si="94"/>
        <v>68.7324</v>
      </c>
      <c r="I339" s="204">
        <f t="shared" si="95"/>
        <v>27.49296</v>
      </c>
      <c r="J339" s="340">
        <v>0</v>
      </c>
      <c r="K339" s="204">
        <f t="shared" si="96"/>
        <v>0</v>
      </c>
      <c r="L339" s="341">
        <f t="shared" si="97"/>
        <v>27.06</v>
      </c>
      <c r="M339" s="323">
        <f t="shared" si="98"/>
        <v>68.7324</v>
      </c>
      <c r="N339" s="204">
        <f t="shared" si="99"/>
        <v>0</v>
      </c>
      <c r="O339" s="342">
        <v>2.35</v>
      </c>
      <c r="P339" s="323">
        <f t="shared" si="100"/>
        <v>5.969</v>
      </c>
      <c r="Q339" s="204">
        <f t="shared" si="101"/>
        <v>2.3876000000000004</v>
      </c>
      <c r="R339" s="323">
        <f t="shared" si="102"/>
        <v>0</v>
      </c>
      <c r="V339" s="204"/>
    </row>
    <row r="340" spans="1:22" s="8" customFormat="1" ht="16.5" customHeight="1">
      <c r="A340" s="10">
        <v>4</v>
      </c>
      <c r="B340" s="8" t="s">
        <v>546</v>
      </c>
      <c r="C340" s="413">
        <v>49825</v>
      </c>
      <c r="D340" s="337">
        <v>1</v>
      </c>
      <c r="E340" s="226">
        <v>23.1</v>
      </c>
      <c r="F340" s="323">
        <f t="shared" si="93"/>
        <v>23.1</v>
      </c>
      <c r="G340" s="339">
        <v>27.54</v>
      </c>
      <c r="H340" s="323">
        <f t="shared" si="94"/>
        <v>69.9516</v>
      </c>
      <c r="I340" s="204">
        <f t="shared" si="95"/>
        <v>1615.8819600000002</v>
      </c>
      <c r="J340" s="340">
        <v>0</v>
      </c>
      <c r="K340" s="204">
        <f t="shared" si="96"/>
        <v>0</v>
      </c>
      <c r="L340" s="341">
        <f t="shared" si="97"/>
        <v>27.54</v>
      </c>
      <c r="M340" s="323">
        <f t="shared" si="98"/>
        <v>69.9516</v>
      </c>
      <c r="N340" s="204">
        <f t="shared" si="99"/>
        <v>0</v>
      </c>
      <c r="O340" s="342">
        <v>2.39</v>
      </c>
      <c r="P340" s="323">
        <f t="shared" si="100"/>
        <v>6.070600000000001</v>
      </c>
      <c r="Q340" s="204">
        <f t="shared" si="101"/>
        <v>140.23086000000004</v>
      </c>
      <c r="R340" s="323">
        <f t="shared" si="102"/>
        <v>0</v>
      </c>
      <c r="V340" s="204"/>
    </row>
    <row r="341" spans="1:22" s="8" customFormat="1" ht="16.5" customHeight="1">
      <c r="A341" s="10">
        <v>4</v>
      </c>
      <c r="B341" s="8" t="s">
        <v>547</v>
      </c>
      <c r="C341" s="413" t="s">
        <v>548</v>
      </c>
      <c r="D341" s="337">
        <v>1</v>
      </c>
      <c r="E341" s="226">
        <v>9.3</v>
      </c>
      <c r="F341" s="323">
        <f t="shared" si="93"/>
        <v>9.3</v>
      </c>
      <c r="G341" s="339">
        <v>27.06</v>
      </c>
      <c r="H341" s="323">
        <f t="shared" si="94"/>
        <v>68.7324</v>
      </c>
      <c r="I341" s="204">
        <f t="shared" si="95"/>
        <v>639.21132</v>
      </c>
      <c r="J341" s="340">
        <v>0</v>
      </c>
      <c r="K341" s="204">
        <f t="shared" si="96"/>
        <v>0</v>
      </c>
      <c r="L341" s="341">
        <f t="shared" si="97"/>
        <v>27.06</v>
      </c>
      <c r="M341" s="323">
        <f t="shared" si="98"/>
        <v>68.7324</v>
      </c>
      <c r="N341" s="204">
        <f t="shared" si="99"/>
        <v>0</v>
      </c>
      <c r="O341" s="342">
        <v>2.35</v>
      </c>
      <c r="P341" s="323">
        <f t="shared" si="100"/>
        <v>5.969</v>
      </c>
      <c r="Q341" s="204">
        <f t="shared" si="101"/>
        <v>55.511700000000005</v>
      </c>
      <c r="R341" s="323">
        <f t="shared" si="102"/>
        <v>0</v>
      </c>
      <c r="V341" s="204"/>
    </row>
    <row r="342" spans="1:22" s="461" customFormat="1" ht="33" customHeight="1">
      <c r="A342" s="462">
        <v>4</v>
      </c>
      <c r="B342" s="461" t="s">
        <v>549</v>
      </c>
      <c r="C342" s="463" t="s">
        <v>550</v>
      </c>
      <c r="D342" s="464">
        <v>1</v>
      </c>
      <c r="E342" s="465">
        <v>2.3</v>
      </c>
      <c r="F342" s="466">
        <f t="shared" si="93"/>
        <v>2.3</v>
      </c>
      <c r="G342" s="467">
        <v>27.06</v>
      </c>
      <c r="H342" s="466">
        <f t="shared" si="94"/>
        <v>68.7324</v>
      </c>
      <c r="I342" s="468">
        <f t="shared" si="95"/>
        <v>158.08452</v>
      </c>
      <c r="J342" s="469">
        <v>0</v>
      </c>
      <c r="K342" s="468">
        <f t="shared" si="96"/>
        <v>0</v>
      </c>
      <c r="L342" s="470">
        <f t="shared" si="97"/>
        <v>27.06</v>
      </c>
      <c r="M342" s="466">
        <f t="shared" si="98"/>
        <v>68.7324</v>
      </c>
      <c r="N342" s="468">
        <f t="shared" si="99"/>
        <v>0</v>
      </c>
      <c r="O342" s="471">
        <v>2.35</v>
      </c>
      <c r="P342" s="466">
        <f t="shared" si="100"/>
        <v>5.969</v>
      </c>
      <c r="Q342" s="468">
        <f t="shared" si="101"/>
        <v>13.7287</v>
      </c>
      <c r="R342" s="466">
        <f t="shared" si="102"/>
        <v>0</v>
      </c>
      <c r="V342" s="468"/>
    </row>
    <row r="343" spans="1:22" s="8" customFormat="1" ht="16.5" customHeight="1">
      <c r="A343" s="10">
        <v>4</v>
      </c>
      <c r="B343" s="8" t="s">
        <v>551</v>
      </c>
      <c r="C343" s="413" t="s">
        <v>552</v>
      </c>
      <c r="D343" s="337">
        <v>1</v>
      </c>
      <c r="E343" s="226">
        <v>16.2</v>
      </c>
      <c r="F343" s="323">
        <f t="shared" si="93"/>
        <v>16.2</v>
      </c>
      <c r="G343" s="339">
        <v>27.06</v>
      </c>
      <c r="H343" s="323">
        <f t="shared" si="94"/>
        <v>68.7324</v>
      </c>
      <c r="I343" s="204">
        <f t="shared" si="95"/>
        <v>1113.46488</v>
      </c>
      <c r="J343" s="340">
        <v>0</v>
      </c>
      <c r="K343" s="204">
        <f t="shared" si="96"/>
        <v>0</v>
      </c>
      <c r="L343" s="341">
        <f t="shared" si="97"/>
        <v>27.06</v>
      </c>
      <c r="M343" s="323">
        <f t="shared" si="98"/>
        <v>68.7324</v>
      </c>
      <c r="N343" s="204">
        <f t="shared" si="99"/>
        <v>0</v>
      </c>
      <c r="O343" s="342">
        <v>2.35</v>
      </c>
      <c r="P343" s="323">
        <f t="shared" si="100"/>
        <v>5.969</v>
      </c>
      <c r="Q343" s="204">
        <f t="shared" si="101"/>
        <v>96.6978</v>
      </c>
      <c r="R343" s="323">
        <f t="shared" si="102"/>
        <v>0</v>
      </c>
      <c r="V343" s="204"/>
    </row>
    <row r="344" spans="1:22" s="8" customFormat="1" ht="16.5" customHeight="1">
      <c r="A344" s="10">
        <v>4</v>
      </c>
      <c r="B344" s="8" t="s">
        <v>553</v>
      </c>
      <c r="C344" s="413" t="s">
        <v>554</v>
      </c>
      <c r="D344" s="337">
        <v>1</v>
      </c>
      <c r="E344" s="226">
        <v>0.2</v>
      </c>
      <c r="F344" s="323">
        <f t="shared" si="93"/>
        <v>0.2</v>
      </c>
      <c r="G344" s="339">
        <v>27.06</v>
      </c>
      <c r="H344" s="323">
        <f t="shared" si="94"/>
        <v>68.7324</v>
      </c>
      <c r="I344" s="204">
        <f t="shared" si="95"/>
        <v>13.74648</v>
      </c>
      <c r="J344" s="340">
        <v>0</v>
      </c>
      <c r="K344" s="204">
        <f t="shared" si="96"/>
        <v>0</v>
      </c>
      <c r="L344" s="341">
        <f t="shared" si="97"/>
        <v>27.06</v>
      </c>
      <c r="M344" s="323">
        <f t="shared" si="98"/>
        <v>68.7324</v>
      </c>
      <c r="N344" s="204">
        <f t="shared" si="99"/>
        <v>0</v>
      </c>
      <c r="O344" s="342">
        <v>2.35</v>
      </c>
      <c r="P344" s="323">
        <f t="shared" si="100"/>
        <v>5.969</v>
      </c>
      <c r="Q344" s="204">
        <f t="shared" si="101"/>
        <v>1.1938000000000002</v>
      </c>
      <c r="R344" s="323">
        <f t="shared" si="102"/>
        <v>0</v>
      </c>
      <c r="V344" s="204"/>
    </row>
    <row r="345" spans="1:22" s="8" customFormat="1" ht="16.5" customHeight="1">
      <c r="A345" s="10">
        <v>4</v>
      </c>
      <c r="B345" s="8" t="s">
        <v>555</v>
      </c>
      <c r="C345" s="413" t="s">
        <v>556</v>
      </c>
      <c r="D345" s="337">
        <v>1</v>
      </c>
      <c r="E345" s="226">
        <v>1</v>
      </c>
      <c r="F345" s="323">
        <f t="shared" si="93"/>
        <v>1</v>
      </c>
      <c r="G345" s="339">
        <v>27.06</v>
      </c>
      <c r="H345" s="323">
        <f t="shared" si="94"/>
        <v>68.7324</v>
      </c>
      <c r="I345" s="204">
        <f t="shared" si="95"/>
        <v>68.7324</v>
      </c>
      <c r="J345" s="340">
        <v>0</v>
      </c>
      <c r="K345" s="204">
        <f t="shared" si="96"/>
        <v>0</v>
      </c>
      <c r="L345" s="341">
        <f t="shared" si="97"/>
        <v>27.06</v>
      </c>
      <c r="M345" s="323">
        <f t="shared" si="98"/>
        <v>68.7324</v>
      </c>
      <c r="N345" s="204">
        <f t="shared" si="99"/>
        <v>0</v>
      </c>
      <c r="O345" s="342">
        <v>2.35</v>
      </c>
      <c r="P345" s="323">
        <f t="shared" si="100"/>
        <v>5.969</v>
      </c>
      <c r="Q345" s="204">
        <f t="shared" si="101"/>
        <v>5.969</v>
      </c>
      <c r="R345" s="323">
        <f t="shared" si="102"/>
        <v>0</v>
      </c>
      <c r="V345" s="204"/>
    </row>
    <row r="346" spans="1:22" s="8" customFormat="1" ht="16.5" customHeight="1">
      <c r="A346" s="10">
        <v>4</v>
      </c>
      <c r="B346" s="8" t="s">
        <v>557</v>
      </c>
      <c r="C346" s="413" t="s">
        <v>558</v>
      </c>
      <c r="D346" s="337">
        <v>1</v>
      </c>
      <c r="E346" s="226">
        <v>1</v>
      </c>
      <c r="F346" s="323">
        <f t="shared" si="93"/>
        <v>1</v>
      </c>
      <c r="G346" s="339">
        <v>27.54</v>
      </c>
      <c r="H346" s="323">
        <f t="shared" si="94"/>
        <v>69.9516</v>
      </c>
      <c r="I346" s="417">
        <f t="shared" si="95"/>
        <v>69.9516</v>
      </c>
      <c r="J346" s="261">
        <v>0</v>
      </c>
      <c r="K346" s="323">
        <f t="shared" si="96"/>
        <v>0</v>
      </c>
      <c r="L346" s="341">
        <f t="shared" si="97"/>
        <v>27.54</v>
      </c>
      <c r="M346" s="323">
        <f t="shared" si="98"/>
        <v>69.9516</v>
      </c>
      <c r="N346" s="204"/>
      <c r="O346" s="342">
        <v>2.39</v>
      </c>
      <c r="P346" s="323">
        <f t="shared" si="100"/>
        <v>6.070600000000001</v>
      </c>
      <c r="Q346" s="204">
        <f t="shared" si="101"/>
        <v>6.070600000000001</v>
      </c>
      <c r="R346" s="323">
        <f t="shared" si="102"/>
        <v>0</v>
      </c>
      <c r="V346" s="204"/>
    </row>
    <row r="347" spans="1:22" s="8" customFormat="1" ht="16.5" customHeight="1">
      <c r="A347" s="10">
        <v>4</v>
      </c>
      <c r="B347" s="8" t="s">
        <v>559</v>
      </c>
      <c r="C347" s="413" t="s">
        <v>560</v>
      </c>
      <c r="D347" s="337">
        <v>1</v>
      </c>
      <c r="E347" s="226">
        <v>5.9</v>
      </c>
      <c r="F347" s="323">
        <f t="shared" si="93"/>
        <v>5.9</v>
      </c>
      <c r="G347" s="339">
        <v>27.54</v>
      </c>
      <c r="H347" s="323">
        <f t="shared" si="94"/>
        <v>69.9516</v>
      </c>
      <c r="I347" s="204">
        <f t="shared" si="95"/>
        <v>412.71444</v>
      </c>
      <c r="J347" s="340">
        <v>0</v>
      </c>
      <c r="K347" s="204">
        <f t="shared" si="96"/>
        <v>0</v>
      </c>
      <c r="L347" s="341">
        <f t="shared" si="97"/>
        <v>27.54</v>
      </c>
      <c r="M347" s="323">
        <f t="shared" si="98"/>
        <v>69.9516</v>
      </c>
      <c r="N347" s="204">
        <f>K347*M347</f>
        <v>0</v>
      </c>
      <c r="O347" s="342">
        <v>2.39</v>
      </c>
      <c r="P347" s="323">
        <f t="shared" si="100"/>
        <v>6.070600000000001</v>
      </c>
      <c r="Q347" s="204">
        <f t="shared" si="101"/>
        <v>35.81654</v>
      </c>
      <c r="R347" s="323">
        <f t="shared" si="102"/>
        <v>0</v>
      </c>
      <c r="V347" s="204"/>
    </row>
    <row r="348" spans="1:22" s="8" customFormat="1" ht="16.5" customHeight="1">
      <c r="A348" s="10">
        <v>4</v>
      </c>
      <c r="B348" s="8" t="s">
        <v>561</v>
      </c>
      <c r="C348" s="413" t="s">
        <v>562</v>
      </c>
      <c r="D348" s="337">
        <v>1</v>
      </c>
      <c r="E348" s="226">
        <v>2.3</v>
      </c>
      <c r="F348" s="323">
        <f t="shared" si="93"/>
        <v>2.3</v>
      </c>
      <c r="G348" s="339">
        <v>27.54</v>
      </c>
      <c r="H348" s="323">
        <f t="shared" si="94"/>
        <v>69.9516</v>
      </c>
      <c r="I348" s="204">
        <f t="shared" si="95"/>
        <v>160.88868</v>
      </c>
      <c r="J348" s="340">
        <v>0</v>
      </c>
      <c r="K348" s="204">
        <f t="shared" si="96"/>
        <v>0</v>
      </c>
      <c r="L348" s="341">
        <f t="shared" si="97"/>
        <v>27.54</v>
      </c>
      <c r="M348" s="323">
        <f t="shared" si="98"/>
        <v>69.9516</v>
      </c>
      <c r="N348" s="204">
        <f>K348*M348</f>
        <v>0</v>
      </c>
      <c r="O348" s="342">
        <v>2.39</v>
      </c>
      <c r="P348" s="323">
        <f t="shared" si="100"/>
        <v>6.070600000000001</v>
      </c>
      <c r="Q348" s="204">
        <f t="shared" si="101"/>
        <v>13.96238</v>
      </c>
      <c r="R348" s="323">
        <f t="shared" si="102"/>
        <v>0</v>
      </c>
      <c r="V348" s="204"/>
    </row>
    <row r="349" spans="1:22" s="8" customFormat="1" ht="16.5" customHeight="1">
      <c r="A349" s="10">
        <v>4</v>
      </c>
      <c r="B349" s="8" t="s">
        <v>563</v>
      </c>
      <c r="C349" s="413" t="s">
        <v>564</v>
      </c>
      <c r="D349" s="337">
        <v>1</v>
      </c>
      <c r="E349" s="226">
        <v>31.1</v>
      </c>
      <c r="F349" s="323">
        <f t="shared" si="93"/>
        <v>31.1</v>
      </c>
      <c r="G349" s="339">
        <v>27.72</v>
      </c>
      <c r="H349" s="323">
        <f t="shared" si="94"/>
        <v>70.4088</v>
      </c>
      <c r="I349" s="204">
        <f t="shared" si="95"/>
        <v>2189.7136800000003</v>
      </c>
      <c r="J349" s="340">
        <v>0</v>
      </c>
      <c r="K349" s="204">
        <f t="shared" si="96"/>
        <v>0</v>
      </c>
      <c r="L349" s="341">
        <f t="shared" si="97"/>
        <v>27.72</v>
      </c>
      <c r="M349" s="323">
        <f t="shared" si="98"/>
        <v>70.4088</v>
      </c>
      <c r="N349" s="204">
        <f>K349*M349</f>
        <v>0</v>
      </c>
      <c r="O349" s="342">
        <v>1.99</v>
      </c>
      <c r="P349" s="323">
        <f t="shared" si="100"/>
        <v>5.0546</v>
      </c>
      <c r="Q349" s="204">
        <f t="shared" si="101"/>
        <v>157.19806</v>
      </c>
      <c r="R349" s="323">
        <f t="shared" si="102"/>
        <v>0</v>
      </c>
      <c r="V349" s="204"/>
    </row>
    <row r="350" spans="1:22" s="8" customFormat="1" ht="16.5" customHeight="1">
      <c r="A350" s="10">
        <v>4</v>
      </c>
      <c r="B350" s="8" t="s">
        <v>565</v>
      </c>
      <c r="C350" s="413">
        <v>52460</v>
      </c>
      <c r="D350" s="337">
        <v>1</v>
      </c>
      <c r="E350" s="226">
        <v>9</v>
      </c>
      <c r="F350" s="323">
        <f t="shared" si="93"/>
        <v>9</v>
      </c>
      <c r="G350" s="339">
        <v>26.8</v>
      </c>
      <c r="H350" s="323">
        <f t="shared" si="94"/>
        <v>68.072</v>
      </c>
      <c r="I350" s="204">
        <f t="shared" si="95"/>
        <v>612.648</v>
      </c>
      <c r="J350" s="340">
        <v>0</v>
      </c>
      <c r="K350" s="204">
        <f t="shared" si="96"/>
        <v>0</v>
      </c>
      <c r="L350" s="341">
        <f t="shared" si="97"/>
        <v>26.8</v>
      </c>
      <c r="M350" s="323">
        <f t="shared" si="98"/>
        <v>68.072</v>
      </c>
      <c r="N350" s="204">
        <f>K350*M350</f>
        <v>0</v>
      </c>
      <c r="O350" s="342">
        <v>3.24</v>
      </c>
      <c r="P350" s="323">
        <f t="shared" si="100"/>
        <v>8.229600000000001</v>
      </c>
      <c r="Q350" s="204">
        <f t="shared" si="101"/>
        <v>74.06640000000002</v>
      </c>
      <c r="R350" s="323">
        <f t="shared" si="102"/>
        <v>0</v>
      </c>
      <c r="V350" s="204"/>
    </row>
    <row r="351" spans="1:22" s="8" customFormat="1" ht="16.5" customHeight="1">
      <c r="A351" s="10">
        <v>4</v>
      </c>
      <c r="B351" s="8" t="s">
        <v>566</v>
      </c>
      <c r="C351" s="413">
        <v>52461</v>
      </c>
      <c r="D351" s="337">
        <v>1</v>
      </c>
      <c r="E351" s="226">
        <v>13.3</v>
      </c>
      <c r="F351" s="323">
        <f t="shared" si="93"/>
        <v>13.3</v>
      </c>
      <c r="G351" s="339">
        <v>26.78</v>
      </c>
      <c r="H351" s="323">
        <f t="shared" si="94"/>
        <v>68.02120000000001</v>
      </c>
      <c r="I351" s="204">
        <f t="shared" si="95"/>
        <v>904.6819600000001</v>
      </c>
      <c r="J351" s="340">
        <v>0</v>
      </c>
      <c r="K351" s="204">
        <f t="shared" si="96"/>
        <v>0</v>
      </c>
      <c r="L351" s="341">
        <f t="shared" si="97"/>
        <v>26.78</v>
      </c>
      <c r="M351" s="323">
        <f t="shared" si="98"/>
        <v>68.02120000000001</v>
      </c>
      <c r="N351" s="204">
        <f>K351*M351</f>
        <v>0</v>
      </c>
      <c r="O351" s="342">
        <v>2.01</v>
      </c>
      <c r="P351" s="323">
        <f t="shared" si="100"/>
        <v>5.1053999999999995</v>
      </c>
      <c r="Q351" s="204">
        <f t="shared" si="101"/>
        <v>67.90182</v>
      </c>
      <c r="R351" s="323">
        <f t="shared" si="102"/>
        <v>0</v>
      </c>
      <c r="V351" s="204"/>
    </row>
    <row r="352" spans="1:22" s="8" customFormat="1" ht="16.5" customHeight="1">
      <c r="A352" s="10"/>
      <c r="C352" s="10"/>
      <c r="D352" s="337"/>
      <c r="E352" s="226"/>
      <c r="F352" s="323"/>
      <c r="G352" s="339"/>
      <c r="H352" s="323"/>
      <c r="I352" s="204"/>
      <c r="J352" s="340"/>
      <c r="K352" s="204"/>
      <c r="L352" s="341"/>
      <c r="M352" s="323"/>
      <c r="N352" s="204"/>
      <c r="O352" s="342"/>
      <c r="P352" s="323"/>
      <c r="Q352" s="204" t="s">
        <v>567</v>
      </c>
      <c r="R352" s="323"/>
      <c r="S352" s="472"/>
      <c r="V352" s="204"/>
    </row>
    <row r="353" spans="1:22" s="8" customFormat="1" ht="16.5" customHeight="1">
      <c r="A353" s="10">
        <v>3</v>
      </c>
      <c r="B353" s="412" t="s">
        <v>568</v>
      </c>
      <c r="C353" s="212">
        <v>55530</v>
      </c>
      <c r="D353" s="455"/>
      <c r="E353" s="226"/>
      <c r="F353" s="10"/>
      <c r="G353" s="339"/>
      <c r="H353" s="323"/>
      <c r="I353" s="204"/>
      <c r="J353" s="340"/>
      <c r="K353" s="204"/>
      <c r="L353" s="341"/>
      <c r="M353" s="323"/>
      <c r="N353" s="204"/>
      <c r="O353" s="342"/>
      <c r="P353" s="323"/>
      <c r="Q353" s="204"/>
      <c r="R353" s="323"/>
      <c r="V353" s="204"/>
    </row>
    <row r="354" spans="1:22" s="8" customFormat="1" ht="16.5" customHeight="1">
      <c r="A354" s="10"/>
      <c r="B354" s="207" t="s">
        <v>248</v>
      </c>
      <c r="C354" s="323">
        <f>SUM(F356:F371)</f>
        <v>352.40000000000003</v>
      </c>
      <c r="D354" s="455" t="s">
        <v>177</v>
      </c>
      <c r="E354" s="367" t="s">
        <v>183</v>
      </c>
      <c r="F354" s="10"/>
      <c r="G354" s="339"/>
      <c r="H354" s="323"/>
      <c r="I354" s="204"/>
      <c r="J354" s="340"/>
      <c r="K354" s="204"/>
      <c r="L354" s="341"/>
      <c r="M354" s="323"/>
      <c r="N354" s="204"/>
      <c r="O354" s="342"/>
      <c r="P354" s="323"/>
      <c r="Q354" s="204"/>
      <c r="R354" s="323"/>
      <c r="V354" s="204"/>
    </row>
    <row r="355" spans="1:22" s="8" customFormat="1" ht="16.5" customHeight="1">
      <c r="A355" s="10"/>
      <c r="B355" s="207" t="s">
        <v>237</v>
      </c>
      <c r="C355" s="226">
        <v>354</v>
      </c>
      <c r="D355" s="473" t="s">
        <v>177</v>
      </c>
      <c r="E355" s="377">
        <f>C355-C354</f>
        <v>1.599999999999966</v>
      </c>
      <c r="F355" s="10"/>
      <c r="G355" s="339"/>
      <c r="H355" s="323"/>
      <c r="I355" s="204"/>
      <c r="J355" s="340"/>
      <c r="K355" s="204"/>
      <c r="L355" s="341"/>
      <c r="M355" s="323"/>
      <c r="N355" s="204"/>
      <c r="O355" s="342"/>
      <c r="P355" s="323"/>
      <c r="Q355" s="204"/>
      <c r="R355" s="323"/>
      <c r="V355" s="204"/>
    </row>
    <row r="356" spans="1:22" s="8" customFormat="1" ht="16.5" customHeight="1">
      <c r="A356" s="10">
        <v>4</v>
      </c>
      <c r="B356" s="8" t="s">
        <v>569</v>
      </c>
      <c r="C356" s="256">
        <v>49827</v>
      </c>
      <c r="D356" s="219">
        <v>1</v>
      </c>
      <c r="E356" s="226">
        <v>105.4</v>
      </c>
      <c r="F356" s="323">
        <f aca="true" t="shared" si="103" ref="F356:F370">E356*D356</f>
        <v>105.4</v>
      </c>
      <c r="G356" s="339">
        <v>26.9</v>
      </c>
      <c r="H356" s="323">
        <f aca="true" t="shared" si="104" ref="H356:H370">G356*2.54</f>
        <v>68.326</v>
      </c>
      <c r="I356" s="204">
        <f aca="true" t="shared" si="105" ref="I356:I370">F356*H356</f>
        <v>7201.560399999999</v>
      </c>
      <c r="J356" s="340">
        <v>0</v>
      </c>
      <c r="K356" s="204">
        <f aca="true" t="shared" si="106" ref="K356:K370">J356*D356</f>
        <v>0</v>
      </c>
      <c r="L356" s="341">
        <f aca="true" t="shared" si="107" ref="L356:L370">G356</f>
        <v>26.9</v>
      </c>
      <c r="M356" s="323">
        <f aca="true" t="shared" si="108" ref="M356:M370">L356*2.54</f>
        <v>68.326</v>
      </c>
      <c r="N356" s="204">
        <f aca="true" t="shared" si="109" ref="N356:N370">K356*M356</f>
        <v>0</v>
      </c>
      <c r="O356" s="342">
        <v>-2.43</v>
      </c>
      <c r="P356" s="323">
        <f aca="true" t="shared" si="110" ref="P356:P370">O356*2.54</f>
        <v>-6.1722</v>
      </c>
      <c r="Q356" s="204">
        <f aca="true" t="shared" si="111" ref="Q356:Q370">F356*P356</f>
        <v>-650.54988</v>
      </c>
      <c r="R356" s="323">
        <f aca="true" t="shared" si="112" ref="R356:R370">K356*P356</f>
        <v>0</v>
      </c>
      <c r="V356" s="204"/>
    </row>
    <row r="357" spans="1:22" s="8" customFormat="1" ht="16.5" customHeight="1">
      <c r="A357" s="10">
        <v>4</v>
      </c>
      <c r="B357" s="8" t="s">
        <v>570</v>
      </c>
      <c r="C357" s="304" t="s">
        <v>548</v>
      </c>
      <c r="D357" s="219">
        <v>1</v>
      </c>
      <c r="E357" s="226">
        <v>18.5</v>
      </c>
      <c r="F357" s="323">
        <f t="shared" si="103"/>
        <v>18.5</v>
      </c>
      <c r="G357" s="339">
        <v>26.8</v>
      </c>
      <c r="H357" s="323">
        <f t="shared" si="104"/>
        <v>68.072</v>
      </c>
      <c r="I357" s="204">
        <f t="shared" si="105"/>
        <v>1259.332</v>
      </c>
      <c r="J357" s="340">
        <v>0</v>
      </c>
      <c r="K357" s="204">
        <f t="shared" si="106"/>
        <v>0</v>
      </c>
      <c r="L357" s="341">
        <f t="shared" si="107"/>
        <v>26.8</v>
      </c>
      <c r="M357" s="323">
        <f t="shared" si="108"/>
        <v>68.072</v>
      </c>
      <c r="N357" s="204">
        <f t="shared" si="109"/>
        <v>0</v>
      </c>
      <c r="O357" s="342">
        <v>-1.51</v>
      </c>
      <c r="P357" s="323">
        <f t="shared" si="110"/>
        <v>-3.8354</v>
      </c>
      <c r="Q357" s="204">
        <f t="shared" si="111"/>
        <v>-70.9549</v>
      </c>
      <c r="R357" s="323">
        <f t="shared" si="112"/>
        <v>0</v>
      </c>
      <c r="V357" s="204"/>
    </row>
    <row r="358" spans="1:22" s="8" customFormat="1" ht="16.5" customHeight="1">
      <c r="A358" s="10">
        <v>4</v>
      </c>
      <c r="B358" s="8" t="s">
        <v>571</v>
      </c>
      <c r="C358" s="256">
        <v>52250</v>
      </c>
      <c r="D358" s="219">
        <v>1</v>
      </c>
      <c r="E358" s="226">
        <v>71.3</v>
      </c>
      <c r="F358" s="323">
        <f t="shared" si="103"/>
        <v>71.3</v>
      </c>
      <c r="G358" s="339">
        <v>26.8</v>
      </c>
      <c r="H358" s="323">
        <f t="shared" si="104"/>
        <v>68.072</v>
      </c>
      <c r="I358" s="204">
        <f t="shared" si="105"/>
        <v>4853.5336</v>
      </c>
      <c r="J358" s="340">
        <v>0</v>
      </c>
      <c r="K358" s="204">
        <f t="shared" si="106"/>
        <v>0</v>
      </c>
      <c r="L358" s="341">
        <f t="shared" si="107"/>
        <v>26.8</v>
      </c>
      <c r="M358" s="323">
        <f t="shared" si="108"/>
        <v>68.072</v>
      </c>
      <c r="N358" s="204">
        <f t="shared" si="109"/>
        <v>0</v>
      </c>
      <c r="O358" s="342">
        <v>-1.51</v>
      </c>
      <c r="P358" s="323">
        <f t="shared" si="110"/>
        <v>-3.8354</v>
      </c>
      <c r="Q358" s="204">
        <f t="shared" si="111"/>
        <v>-273.46402</v>
      </c>
      <c r="R358" s="323">
        <f t="shared" si="112"/>
        <v>0</v>
      </c>
      <c r="V358" s="204"/>
    </row>
    <row r="359" spans="1:22" s="8" customFormat="1" ht="16.5" customHeight="1">
      <c r="A359" s="10">
        <v>4</v>
      </c>
      <c r="B359" s="8" t="s">
        <v>572</v>
      </c>
      <c r="C359" s="256">
        <v>49850</v>
      </c>
      <c r="D359" s="219">
        <v>1</v>
      </c>
      <c r="E359" s="226">
        <v>1.4</v>
      </c>
      <c r="F359" s="323">
        <f t="shared" si="103"/>
        <v>1.4</v>
      </c>
      <c r="G359" s="339">
        <v>26.8</v>
      </c>
      <c r="H359" s="323">
        <f t="shared" si="104"/>
        <v>68.072</v>
      </c>
      <c r="I359" s="204">
        <f t="shared" si="105"/>
        <v>95.3008</v>
      </c>
      <c r="J359" s="340">
        <v>0</v>
      </c>
      <c r="K359" s="204">
        <f t="shared" si="106"/>
        <v>0</v>
      </c>
      <c r="L359" s="341">
        <f t="shared" si="107"/>
        <v>26.8</v>
      </c>
      <c r="M359" s="323">
        <f t="shared" si="108"/>
        <v>68.072</v>
      </c>
      <c r="N359" s="204">
        <f t="shared" si="109"/>
        <v>0</v>
      </c>
      <c r="O359" s="342">
        <v>-1.51</v>
      </c>
      <c r="P359" s="323">
        <f t="shared" si="110"/>
        <v>-3.8354</v>
      </c>
      <c r="Q359" s="204">
        <f t="shared" si="111"/>
        <v>-5.36956</v>
      </c>
      <c r="R359" s="323">
        <f t="shared" si="112"/>
        <v>0</v>
      </c>
      <c r="V359" s="204"/>
    </row>
    <row r="360" spans="1:22" s="8" customFormat="1" ht="16.5" customHeight="1">
      <c r="A360" s="10">
        <v>4</v>
      </c>
      <c r="B360" s="8" t="s">
        <v>544</v>
      </c>
      <c r="C360" s="304" t="s">
        <v>545</v>
      </c>
      <c r="D360" s="219">
        <v>1</v>
      </c>
      <c r="E360" s="226">
        <v>0.5</v>
      </c>
      <c r="F360" s="323">
        <f t="shared" si="103"/>
        <v>0.5</v>
      </c>
      <c r="G360" s="339">
        <v>26.8</v>
      </c>
      <c r="H360" s="323">
        <f t="shared" si="104"/>
        <v>68.072</v>
      </c>
      <c r="I360" s="204">
        <f t="shared" si="105"/>
        <v>34.036</v>
      </c>
      <c r="J360" s="340">
        <v>0</v>
      </c>
      <c r="K360" s="204">
        <f t="shared" si="106"/>
        <v>0</v>
      </c>
      <c r="L360" s="341">
        <f t="shared" si="107"/>
        <v>26.8</v>
      </c>
      <c r="M360" s="323">
        <f t="shared" si="108"/>
        <v>68.072</v>
      </c>
      <c r="N360" s="204">
        <f t="shared" si="109"/>
        <v>0</v>
      </c>
      <c r="O360" s="342">
        <v>-1.51</v>
      </c>
      <c r="P360" s="323">
        <f t="shared" si="110"/>
        <v>-3.8354</v>
      </c>
      <c r="Q360" s="204">
        <f t="shared" si="111"/>
        <v>-1.9177</v>
      </c>
      <c r="R360" s="323">
        <f t="shared" si="112"/>
        <v>0</v>
      </c>
      <c r="V360" s="204"/>
    </row>
    <row r="361" spans="1:22" s="461" customFormat="1" ht="33" customHeight="1">
      <c r="A361" s="462">
        <v>4</v>
      </c>
      <c r="B361" s="461" t="s">
        <v>573</v>
      </c>
      <c r="C361" s="474" t="s">
        <v>574</v>
      </c>
      <c r="D361" s="475">
        <v>1</v>
      </c>
      <c r="E361" s="465">
        <v>1.9</v>
      </c>
      <c r="F361" s="466">
        <f t="shared" si="103"/>
        <v>1.9</v>
      </c>
      <c r="G361" s="467">
        <v>26.8</v>
      </c>
      <c r="H361" s="466">
        <f t="shared" si="104"/>
        <v>68.072</v>
      </c>
      <c r="I361" s="468">
        <f t="shared" si="105"/>
        <v>129.3368</v>
      </c>
      <c r="J361" s="469">
        <v>0</v>
      </c>
      <c r="K361" s="468">
        <f t="shared" si="106"/>
        <v>0</v>
      </c>
      <c r="L361" s="470">
        <f t="shared" si="107"/>
        <v>26.8</v>
      </c>
      <c r="M361" s="466">
        <f t="shared" si="108"/>
        <v>68.072</v>
      </c>
      <c r="N361" s="468">
        <f t="shared" si="109"/>
        <v>0</v>
      </c>
      <c r="O361" s="471">
        <v>-1.51</v>
      </c>
      <c r="P361" s="466">
        <f t="shared" si="110"/>
        <v>-3.8354</v>
      </c>
      <c r="Q361" s="468">
        <f t="shared" si="111"/>
        <v>-7.28726</v>
      </c>
      <c r="R361" s="466">
        <f t="shared" si="112"/>
        <v>0</v>
      </c>
      <c r="V361" s="468"/>
    </row>
    <row r="362" spans="1:22" s="8" customFormat="1" ht="16.5" customHeight="1">
      <c r="A362" s="10">
        <v>4</v>
      </c>
      <c r="B362" s="8" t="s">
        <v>575</v>
      </c>
      <c r="C362" s="413">
        <v>52489</v>
      </c>
      <c r="D362" s="337">
        <v>1</v>
      </c>
      <c r="E362" s="226">
        <v>9.6</v>
      </c>
      <c r="F362" s="323">
        <f t="shared" si="103"/>
        <v>9.6</v>
      </c>
      <c r="G362" s="339">
        <v>26.8</v>
      </c>
      <c r="H362" s="323">
        <f t="shared" si="104"/>
        <v>68.072</v>
      </c>
      <c r="I362" s="204">
        <f t="shared" si="105"/>
        <v>653.4912</v>
      </c>
      <c r="J362" s="340">
        <v>0</v>
      </c>
      <c r="K362" s="204">
        <f t="shared" si="106"/>
        <v>0</v>
      </c>
      <c r="L362" s="341">
        <f t="shared" si="107"/>
        <v>26.8</v>
      </c>
      <c r="M362" s="323">
        <f t="shared" si="108"/>
        <v>68.072</v>
      </c>
      <c r="N362" s="204">
        <f t="shared" si="109"/>
        <v>0</v>
      </c>
      <c r="O362" s="342">
        <v>-1.51</v>
      </c>
      <c r="P362" s="323">
        <f t="shared" si="110"/>
        <v>-3.8354</v>
      </c>
      <c r="Q362" s="204">
        <f t="shared" si="111"/>
        <v>-36.81984</v>
      </c>
      <c r="R362" s="323">
        <f t="shared" si="112"/>
        <v>0</v>
      </c>
      <c r="V362" s="204"/>
    </row>
    <row r="363" spans="1:22" s="8" customFormat="1" ht="16.5" customHeight="1">
      <c r="A363" s="10">
        <v>4</v>
      </c>
      <c r="B363" s="8" t="s">
        <v>555</v>
      </c>
      <c r="C363" s="413" t="s">
        <v>556</v>
      </c>
      <c r="D363" s="337">
        <v>1</v>
      </c>
      <c r="E363" s="226">
        <v>1</v>
      </c>
      <c r="F363" s="323">
        <f t="shared" si="103"/>
        <v>1</v>
      </c>
      <c r="G363" s="339">
        <v>26.8</v>
      </c>
      <c r="H363" s="323">
        <f t="shared" si="104"/>
        <v>68.072</v>
      </c>
      <c r="I363" s="204">
        <f t="shared" si="105"/>
        <v>68.072</v>
      </c>
      <c r="J363" s="340">
        <v>0</v>
      </c>
      <c r="K363" s="204">
        <f t="shared" si="106"/>
        <v>0</v>
      </c>
      <c r="L363" s="341">
        <f t="shared" si="107"/>
        <v>26.8</v>
      </c>
      <c r="M363" s="323">
        <f t="shared" si="108"/>
        <v>68.072</v>
      </c>
      <c r="N363" s="204">
        <f t="shared" si="109"/>
        <v>0</v>
      </c>
      <c r="O363" s="342">
        <v>-1.51</v>
      </c>
      <c r="P363" s="323">
        <f t="shared" si="110"/>
        <v>-3.8354</v>
      </c>
      <c r="Q363" s="204">
        <f t="shared" si="111"/>
        <v>-3.8354</v>
      </c>
      <c r="R363" s="323">
        <f t="shared" si="112"/>
        <v>0</v>
      </c>
      <c r="V363" s="204"/>
    </row>
    <row r="364" spans="1:22" s="8" customFormat="1" ht="16.5" customHeight="1">
      <c r="A364" s="10">
        <v>4</v>
      </c>
      <c r="B364" s="8" t="s">
        <v>576</v>
      </c>
      <c r="C364" s="413">
        <v>49828</v>
      </c>
      <c r="D364" s="337">
        <v>1</v>
      </c>
      <c r="E364" s="226">
        <v>9.6</v>
      </c>
      <c r="F364" s="323">
        <f t="shared" si="103"/>
        <v>9.6</v>
      </c>
      <c r="G364" s="339">
        <v>26.92</v>
      </c>
      <c r="H364" s="323">
        <f t="shared" si="104"/>
        <v>68.3768</v>
      </c>
      <c r="I364" s="204">
        <f t="shared" si="105"/>
        <v>656.41728</v>
      </c>
      <c r="J364" s="340">
        <v>0</v>
      </c>
      <c r="K364" s="204">
        <f t="shared" si="106"/>
        <v>0</v>
      </c>
      <c r="L364" s="341">
        <f t="shared" si="107"/>
        <v>26.92</v>
      </c>
      <c r="M364" s="323">
        <f t="shared" si="108"/>
        <v>68.3768</v>
      </c>
      <c r="N364" s="204">
        <f t="shared" si="109"/>
        <v>0</v>
      </c>
      <c r="O364" s="342">
        <v>-2.62</v>
      </c>
      <c r="P364" s="323">
        <f t="shared" si="110"/>
        <v>-6.654800000000001</v>
      </c>
      <c r="Q364" s="204">
        <f t="shared" si="111"/>
        <v>-63.88608000000001</v>
      </c>
      <c r="R364" s="323">
        <f t="shared" si="112"/>
        <v>0</v>
      </c>
      <c r="V364" s="204"/>
    </row>
    <row r="365" spans="1:22" s="8" customFormat="1" ht="15.75" customHeight="1">
      <c r="A365" s="10">
        <v>4</v>
      </c>
      <c r="B365" s="8" t="s">
        <v>577</v>
      </c>
      <c r="C365" s="413">
        <v>49851</v>
      </c>
      <c r="D365" s="337">
        <v>1</v>
      </c>
      <c r="E365" s="226">
        <v>90.4</v>
      </c>
      <c r="F365" s="323">
        <f t="shared" si="103"/>
        <v>90.4</v>
      </c>
      <c r="G365" s="339">
        <v>26.86</v>
      </c>
      <c r="H365" s="323">
        <f t="shared" si="104"/>
        <v>68.2244</v>
      </c>
      <c r="I365" s="204">
        <f t="shared" si="105"/>
        <v>6167.4857600000005</v>
      </c>
      <c r="J365" s="340">
        <v>0</v>
      </c>
      <c r="K365" s="204">
        <f t="shared" si="106"/>
        <v>0</v>
      </c>
      <c r="L365" s="341">
        <f t="shared" si="107"/>
        <v>26.86</v>
      </c>
      <c r="M365" s="323">
        <f t="shared" si="108"/>
        <v>68.2244</v>
      </c>
      <c r="N365" s="204">
        <f t="shared" si="109"/>
        <v>0</v>
      </c>
      <c r="O365" s="342">
        <v>-2.62</v>
      </c>
      <c r="P365" s="323">
        <f t="shared" si="110"/>
        <v>-6.654800000000001</v>
      </c>
      <c r="Q365" s="204">
        <f t="shared" si="111"/>
        <v>-601.5939200000001</v>
      </c>
      <c r="R365" s="323">
        <f t="shared" si="112"/>
        <v>0</v>
      </c>
      <c r="V365" s="204"/>
    </row>
    <row r="366" spans="1:22" s="8" customFormat="1" ht="16.5" customHeight="1">
      <c r="A366" s="10">
        <v>4</v>
      </c>
      <c r="B366" s="8" t="s">
        <v>578</v>
      </c>
      <c r="C366" s="413" t="s">
        <v>579</v>
      </c>
      <c r="D366" s="337">
        <v>1</v>
      </c>
      <c r="E366" s="226">
        <v>0.2</v>
      </c>
      <c r="F366" s="323">
        <f t="shared" si="103"/>
        <v>0.2</v>
      </c>
      <c r="G366" s="339">
        <v>26.92</v>
      </c>
      <c r="H366" s="323">
        <f t="shared" si="104"/>
        <v>68.3768</v>
      </c>
      <c r="I366" s="204">
        <f t="shared" si="105"/>
        <v>13.675360000000001</v>
      </c>
      <c r="J366" s="340">
        <v>0</v>
      </c>
      <c r="K366" s="204">
        <f t="shared" si="106"/>
        <v>0</v>
      </c>
      <c r="L366" s="341">
        <f t="shared" si="107"/>
        <v>26.92</v>
      </c>
      <c r="M366" s="323">
        <f t="shared" si="108"/>
        <v>68.3768</v>
      </c>
      <c r="N366" s="204">
        <f t="shared" si="109"/>
        <v>0</v>
      </c>
      <c r="O366" s="342">
        <v>-2.62</v>
      </c>
      <c r="P366" s="323">
        <f t="shared" si="110"/>
        <v>-6.654800000000001</v>
      </c>
      <c r="Q366" s="204">
        <f t="shared" si="111"/>
        <v>-1.3309600000000001</v>
      </c>
      <c r="R366" s="323">
        <f t="shared" si="112"/>
        <v>0</v>
      </c>
      <c r="V366" s="204"/>
    </row>
    <row r="367" spans="1:22" s="461" customFormat="1" ht="33" customHeight="1">
      <c r="A367" s="462">
        <v>4</v>
      </c>
      <c r="B367" s="461" t="s">
        <v>580</v>
      </c>
      <c r="C367" s="463" t="s">
        <v>581</v>
      </c>
      <c r="D367" s="464">
        <v>1</v>
      </c>
      <c r="E367" s="465">
        <v>1.1</v>
      </c>
      <c r="F367" s="466">
        <f t="shared" si="103"/>
        <v>1.1</v>
      </c>
      <c r="G367" s="467">
        <v>26.92</v>
      </c>
      <c r="H367" s="466">
        <f t="shared" si="104"/>
        <v>68.3768</v>
      </c>
      <c r="I367" s="468">
        <f t="shared" si="105"/>
        <v>75.21448000000001</v>
      </c>
      <c r="J367" s="469">
        <v>0</v>
      </c>
      <c r="K367" s="468">
        <f t="shared" si="106"/>
        <v>0</v>
      </c>
      <c r="L367" s="470">
        <f t="shared" si="107"/>
        <v>26.92</v>
      </c>
      <c r="M367" s="466">
        <f t="shared" si="108"/>
        <v>68.3768</v>
      </c>
      <c r="N367" s="468">
        <f t="shared" si="109"/>
        <v>0</v>
      </c>
      <c r="O367" s="471">
        <v>-2.62</v>
      </c>
      <c r="P367" s="466">
        <f t="shared" si="110"/>
        <v>-6.654800000000001</v>
      </c>
      <c r="Q367" s="468">
        <f t="shared" si="111"/>
        <v>-7.320280000000001</v>
      </c>
      <c r="R367" s="466">
        <f t="shared" si="112"/>
        <v>0</v>
      </c>
      <c r="V367" s="468"/>
    </row>
    <row r="368" spans="1:22" s="8" customFormat="1" ht="15.75" customHeight="1">
      <c r="A368" s="10">
        <v>4</v>
      </c>
      <c r="B368" s="8" t="s">
        <v>582</v>
      </c>
      <c r="C368" s="413">
        <v>49872</v>
      </c>
      <c r="D368" s="337">
        <v>1</v>
      </c>
      <c r="E368" s="226">
        <v>10.5</v>
      </c>
      <c r="F368" s="323">
        <f t="shared" si="103"/>
        <v>10.5</v>
      </c>
      <c r="G368" s="339">
        <v>27.64</v>
      </c>
      <c r="H368" s="323">
        <f t="shared" si="104"/>
        <v>70.2056</v>
      </c>
      <c r="I368" s="204">
        <f t="shared" si="105"/>
        <v>737.1588</v>
      </c>
      <c r="J368" s="340">
        <v>0</v>
      </c>
      <c r="K368" s="204">
        <f t="shared" si="106"/>
        <v>0</v>
      </c>
      <c r="L368" s="341">
        <f t="shared" si="107"/>
        <v>27.64</v>
      </c>
      <c r="M368" s="323">
        <f t="shared" si="108"/>
        <v>70.2056</v>
      </c>
      <c r="N368" s="204">
        <f t="shared" si="109"/>
        <v>0</v>
      </c>
      <c r="O368" s="342">
        <v>-2.66</v>
      </c>
      <c r="P368" s="323">
        <f t="shared" si="110"/>
        <v>-6.7564</v>
      </c>
      <c r="Q368" s="204">
        <f t="shared" si="111"/>
        <v>-70.9422</v>
      </c>
      <c r="R368" s="323">
        <f t="shared" si="112"/>
        <v>0</v>
      </c>
      <c r="V368" s="204"/>
    </row>
    <row r="369" spans="1:22" s="8" customFormat="1" ht="15.75" customHeight="1">
      <c r="A369" s="10">
        <v>4</v>
      </c>
      <c r="B369" s="8" t="s">
        <v>583</v>
      </c>
      <c r="C369" s="10">
        <v>55274</v>
      </c>
      <c r="D369" s="337">
        <v>1</v>
      </c>
      <c r="E369" s="226">
        <v>0.1</v>
      </c>
      <c r="F369" s="323">
        <f t="shared" si="103"/>
        <v>0.1</v>
      </c>
      <c r="G369" s="339">
        <v>27.64</v>
      </c>
      <c r="H369" s="323">
        <f t="shared" si="104"/>
        <v>70.2056</v>
      </c>
      <c r="I369" s="204">
        <f t="shared" si="105"/>
        <v>7.020560000000001</v>
      </c>
      <c r="J369" s="340">
        <v>0</v>
      </c>
      <c r="K369" s="204">
        <f t="shared" si="106"/>
        <v>0</v>
      </c>
      <c r="L369" s="341">
        <f t="shared" si="107"/>
        <v>27.64</v>
      </c>
      <c r="M369" s="323">
        <f t="shared" si="108"/>
        <v>70.2056</v>
      </c>
      <c r="N369" s="204">
        <f t="shared" si="109"/>
        <v>0</v>
      </c>
      <c r="O369" s="342">
        <v>-2.66</v>
      </c>
      <c r="P369" s="323">
        <f t="shared" si="110"/>
        <v>-6.7564</v>
      </c>
      <c r="Q369" s="204">
        <f t="shared" si="111"/>
        <v>-0.67564</v>
      </c>
      <c r="R369" s="323">
        <f t="shared" si="112"/>
        <v>0</v>
      </c>
      <c r="V369" s="204"/>
    </row>
    <row r="370" spans="1:22" s="8" customFormat="1" ht="15.75" customHeight="1">
      <c r="A370" s="10">
        <v>4</v>
      </c>
      <c r="B370" s="8" t="s">
        <v>584</v>
      </c>
      <c r="C370" s="10">
        <v>52251</v>
      </c>
      <c r="D370" s="337">
        <v>1</v>
      </c>
      <c r="E370" s="226">
        <v>30.9</v>
      </c>
      <c r="F370" s="323">
        <f t="shared" si="103"/>
        <v>30.9</v>
      </c>
      <c r="G370" s="339">
        <v>27.25</v>
      </c>
      <c r="H370" s="323">
        <f t="shared" si="104"/>
        <v>69.215</v>
      </c>
      <c r="I370" s="204">
        <f t="shared" si="105"/>
        <v>2138.7435</v>
      </c>
      <c r="J370" s="340">
        <v>0</v>
      </c>
      <c r="K370" s="204">
        <f t="shared" si="106"/>
        <v>0</v>
      </c>
      <c r="L370" s="341">
        <f t="shared" si="107"/>
        <v>27.25</v>
      </c>
      <c r="M370" s="323">
        <f t="shared" si="108"/>
        <v>69.215</v>
      </c>
      <c r="N370" s="204">
        <f t="shared" si="109"/>
        <v>0</v>
      </c>
      <c r="O370" s="342">
        <v>-2.43</v>
      </c>
      <c r="P370" s="323">
        <f t="shared" si="110"/>
        <v>-6.1722</v>
      </c>
      <c r="Q370" s="204">
        <f t="shared" si="111"/>
        <v>-190.72098</v>
      </c>
      <c r="R370" s="323">
        <f t="shared" si="112"/>
        <v>0</v>
      </c>
      <c r="V370" s="204"/>
    </row>
    <row r="371" spans="1:22" s="8" customFormat="1" ht="16.5" customHeight="1">
      <c r="A371" s="390"/>
      <c r="B371" s="395"/>
      <c r="C371" s="476"/>
      <c r="D371" s="426"/>
      <c r="E371" s="427"/>
      <c r="F371" s="428"/>
      <c r="G371" s="429"/>
      <c r="H371" s="428"/>
      <c r="I371" s="430"/>
      <c r="J371" s="477"/>
      <c r="K371" s="430"/>
      <c r="L371" s="432"/>
      <c r="M371" s="428"/>
      <c r="N371" s="430"/>
      <c r="O371" s="433"/>
      <c r="P371" s="428"/>
      <c r="Q371" s="430"/>
      <c r="R371" s="428"/>
      <c r="V371" s="204"/>
    </row>
    <row r="372" spans="1:22" s="252" customFormat="1" ht="16.5" customHeight="1">
      <c r="A372" s="192">
        <v>2</v>
      </c>
      <c r="B372" s="247" t="s">
        <v>585</v>
      </c>
      <c r="C372" s="478" t="s">
        <v>492</v>
      </c>
      <c r="D372" s="479"/>
      <c r="E372" s="353"/>
      <c r="F372" s="435"/>
      <c r="G372" s="480"/>
      <c r="H372" s="435"/>
      <c r="I372" s="254"/>
      <c r="J372" s="364"/>
      <c r="K372" s="254"/>
      <c r="L372" s="481"/>
      <c r="M372" s="435"/>
      <c r="N372" s="254"/>
      <c r="O372" s="342"/>
      <c r="P372" s="435"/>
      <c r="Q372" s="254"/>
      <c r="R372" s="435"/>
      <c r="V372" s="254"/>
    </row>
    <row r="373" spans="1:22" s="8" customFormat="1" ht="16.5" customHeight="1">
      <c r="A373" s="10"/>
      <c r="B373" s="232" t="s">
        <v>248</v>
      </c>
      <c r="C373" s="328">
        <f>SUM(E376:E387)</f>
        <v>3944.9000000000005</v>
      </c>
      <c r="D373" s="346" t="s">
        <v>177</v>
      </c>
      <c r="E373" s="367" t="s">
        <v>183</v>
      </c>
      <c r="F373" s="10"/>
      <c r="G373" s="480"/>
      <c r="H373" s="435"/>
      <c r="I373" s="440"/>
      <c r="J373" s="364"/>
      <c r="K373" s="224"/>
      <c r="L373" s="481"/>
      <c r="M373" s="435"/>
      <c r="N373" s="254"/>
      <c r="O373" s="342"/>
      <c r="P373" s="435"/>
      <c r="Q373" s="254"/>
      <c r="R373" s="323"/>
      <c r="V373" s="204"/>
    </row>
    <row r="374" spans="1:22" s="8" customFormat="1" ht="16.5" customHeight="1">
      <c r="A374" s="10"/>
      <c r="B374" s="232" t="s">
        <v>237</v>
      </c>
      <c r="C374" s="345">
        <v>3953</v>
      </c>
      <c r="D374" s="346" t="s">
        <v>177</v>
      </c>
      <c r="E374" s="377">
        <f>C374-C373</f>
        <v>8.099999999999454</v>
      </c>
      <c r="F374" s="10"/>
      <c r="G374" s="480"/>
      <c r="H374" s="435"/>
      <c r="I374" s="440"/>
      <c r="J374" s="364"/>
      <c r="K374" s="224"/>
      <c r="L374" s="481"/>
      <c r="M374" s="435"/>
      <c r="N374" s="254"/>
      <c r="O374" s="342"/>
      <c r="P374" s="435"/>
      <c r="Q374" s="254"/>
      <c r="R374" s="323"/>
      <c r="V374" s="204"/>
    </row>
    <row r="375" spans="1:22" s="8" customFormat="1" ht="16.5" customHeight="1">
      <c r="A375" s="10"/>
      <c r="B375" s="232"/>
      <c r="C375" s="345"/>
      <c r="D375" s="346"/>
      <c r="E375" s="377"/>
      <c r="F375" s="10"/>
      <c r="G375" s="480"/>
      <c r="H375" s="435"/>
      <c r="I375" s="440"/>
      <c r="J375" s="364"/>
      <c r="K375" s="224"/>
      <c r="L375" s="481"/>
      <c r="M375" s="435"/>
      <c r="N375" s="254"/>
      <c r="O375" s="342"/>
      <c r="P375" s="435"/>
      <c r="Q375" s="254"/>
      <c r="R375" s="323"/>
      <c r="V375" s="204"/>
    </row>
    <row r="376" spans="1:22" s="8" customFormat="1" ht="16.5" customHeight="1">
      <c r="A376" s="10">
        <v>3</v>
      </c>
      <c r="B376" s="301" t="s">
        <v>586</v>
      </c>
      <c r="C376" s="10">
        <v>49846</v>
      </c>
      <c r="D376" s="337">
        <v>1</v>
      </c>
      <c r="E376" s="226">
        <v>64</v>
      </c>
      <c r="F376" s="323">
        <f aca="true" t="shared" si="113" ref="F376:F387">E376*D376</f>
        <v>64</v>
      </c>
      <c r="G376" s="339">
        <v>23.507</v>
      </c>
      <c r="H376" s="323">
        <f aca="true" t="shared" si="114" ref="H376:H387">G376*2.54</f>
        <v>59.70778000000001</v>
      </c>
      <c r="I376" s="204">
        <f aca="true" t="shared" si="115" ref="I376:I387">F376*H376</f>
        <v>3821.2979200000004</v>
      </c>
      <c r="J376" s="340">
        <v>0</v>
      </c>
      <c r="K376" s="204">
        <f aca="true" t="shared" si="116" ref="K376:K387">J376*D376</f>
        <v>0</v>
      </c>
      <c r="L376" s="341">
        <f aca="true" t="shared" si="117" ref="L376:L387">G376</f>
        <v>23.507</v>
      </c>
      <c r="M376" s="323">
        <f aca="true" t="shared" si="118" ref="M376:M387">L376*2.54</f>
        <v>59.70778000000001</v>
      </c>
      <c r="N376" s="204">
        <f aca="true" t="shared" si="119" ref="N376:N387">K376*M376</f>
        <v>0</v>
      </c>
      <c r="O376" s="342">
        <v>0</v>
      </c>
      <c r="P376" s="323">
        <f aca="true" t="shared" si="120" ref="P376:P387">O376*2.54</f>
        <v>0</v>
      </c>
      <c r="Q376" s="204">
        <f aca="true" t="shared" si="121" ref="Q376:Q387">F376*P376</f>
        <v>0</v>
      </c>
      <c r="R376" s="323">
        <f aca="true" t="shared" si="122" ref="R376:R387">K376*P376</f>
        <v>0</v>
      </c>
      <c r="V376" s="204"/>
    </row>
    <row r="377" spans="1:22" s="8" customFormat="1" ht="16.5" customHeight="1">
      <c r="A377" s="10">
        <v>3</v>
      </c>
      <c r="B377" s="301" t="s">
        <v>587</v>
      </c>
      <c r="C377" s="10">
        <v>52379</v>
      </c>
      <c r="D377" s="337">
        <v>1</v>
      </c>
      <c r="E377" s="226">
        <v>64.4</v>
      </c>
      <c r="F377" s="323">
        <f t="shared" si="113"/>
        <v>64.4</v>
      </c>
      <c r="G377" s="339">
        <v>23.507</v>
      </c>
      <c r="H377" s="323">
        <f t="shared" si="114"/>
        <v>59.70778000000001</v>
      </c>
      <c r="I377" s="204">
        <f t="shared" si="115"/>
        <v>3845.181032000001</v>
      </c>
      <c r="J377" s="340">
        <v>0</v>
      </c>
      <c r="K377" s="204">
        <f t="shared" si="116"/>
        <v>0</v>
      </c>
      <c r="L377" s="341">
        <f t="shared" si="117"/>
        <v>23.507</v>
      </c>
      <c r="M377" s="323">
        <f t="shared" si="118"/>
        <v>59.70778000000001</v>
      </c>
      <c r="N377" s="204">
        <f t="shared" si="119"/>
        <v>0</v>
      </c>
      <c r="O377" s="342">
        <v>0</v>
      </c>
      <c r="P377" s="323">
        <f t="shared" si="120"/>
        <v>0</v>
      </c>
      <c r="Q377" s="204">
        <f t="shared" si="121"/>
        <v>0</v>
      </c>
      <c r="R377" s="323">
        <f t="shared" si="122"/>
        <v>0</v>
      </c>
      <c r="V377" s="204"/>
    </row>
    <row r="378" spans="1:22" s="257" customFormat="1" ht="33.75" customHeight="1">
      <c r="A378" s="256">
        <v>3</v>
      </c>
      <c r="B378" s="299" t="s">
        <v>588</v>
      </c>
      <c r="C378" s="482" t="s">
        <v>589</v>
      </c>
      <c r="D378" s="219">
        <v>1</v>
      </c>
      <c r="E378" s="226">
        <v>256.3</v>
      </c>
      <c r="F378" s="228">
        <f t="shared" si="113"/>
        <v>256.3</v>
      </c>
      <c r="G378" s="259">
        <v>21.5</v>
      </c>
      <c r="H378" s="228">
        <f t="shared" si="114"/>
        <v>54.61</v>
      </c>
      <c r="I378" s="229">
        <f t="shared" si="115"/>
        <v>13996.543</v>
      </c>
      <c r="J378" s="340">
        <v>0</v>
      </c>
      <c r="K378" s="229">
        <f t="shared" si="116"/>
        <v>0</v>
      </c>
      <c r="L378" s="261">
        <f t="shared" si="117"/>
        <v>21.5</v>
      </c>
      <c r="M378" s="228">
        <f t="shared" si="118"/>
        <v>54.61</v>
      </c>
      <c r="N378" s="204">
        <f t="shared" si="119"/>
        <v>0</v>
      </c>
      <c r="O378" s="231">
        <v>0.7</v>
      </c>
      <c r="P378" s="228">
        <f t="shared" si="120"/>
        <v>1.7779999999999998</v>
      </c>
      <c r="Q378" s="229">
        <f t="shared" si="121"/>
        <v>455.7014</v>
      </c>
      <c r="R378" s="228">
        <f t="shared" si="122"/>
        <v>0</v>
      </c>
      <c r="V378" s="229"/>
    </row>
    <row r="379" spans="1:22" s="8" customFormat="1" ht="16.5" customHeight="1">
      <c r="A379" s="10">
        <v>3</v>
      </c>
      <c r="B379" s="203" t="s">
        <v>590</v>
      </c>
      <c r="C379" s="413" t="s">
        <v>591</v>
      </c>
      <c r="D379" s="337">
        <v>1</v>
      </c>
      <c r="E379" s="226">
        <v>3.8</v>
      </c>
      <c r="F379" s="323">
        <f t="shared" si="113"/>
        <v>3.8</v>
      </c>
      <c r="G379" s="339">
        <v>21.73</v>
      </c>
      <c r="H379" s="323">
        <f t="shared" si="114"/>
        <v>55.1942</v>
      </c>
      <c r="I379" s="204">
        <f t="shared" si="115"/>
        <v>209.73796</v>
      </c>
      <c r="J379" s="340">
        <v>0</v>
      </c>
      <c r="K379" s="204">
        <f t="shared" si="116"/>
        <v>0</v>
      </c>
      <c r="L379" s="341">
        <f t="shared" si="117"/>
        <v>21.73</v>
      </c>
      <c r="M379" s="323">
        <f t="shared" si="118"/>
        <v>55.1942</v>
      </c>
      <c r="N379" s="204">
        <f t="shared" si="119"/>
        <v>0</v>
      </c>
      <c r="O379" s="342">
        <v>0.44</v>
      </c>
      <c r="P379" s="323">
        <f t="shared" si="120"/>
        <v>1.1176</v>
      </c>
      <c r="Q379" s="204">
        <f t="shared" si="121"/>
        <v>4.246879999999999</v>
      </c>
      <c r="R379" s="323">
        <f t="shared" si="122"/>
        <v>0</v>
      </c>
      <c r="V379" s="204"/>
    </row>
    <row r="380" spans="1:22" s="8" customFormat="1" ht="16.5" customHeight="1">
      <c r="A380" s="10">
        <v>3</v>
      </c>
      <c r="B380" s="301" t="s">
        <v>592</v>
      </c>
      <c r="C380" s="413" t="s">
        <v>593</v>
      </c>
      <c r="D380" s="337">
        <v>1</v>
      </c>
      <c r="E380" s="226">
        <v>4.6</v>
      </c>
      <c r="F380" s="323">
        <f t="shared" si="113"/>
        <v>4.6</v>
      </c>
      <c r="G380" s="339">
        <v>21.5</v>
      </c>
      <c r="H380" s="323">
        <f t="shared" si="114"/>
        <v>54.61</v>
      </c>
      <c r="I380" s="204">
        <f t="shared" si="115"/>
        <v>251.206</v>
      </c>
      <c r="J380" s="340">
        <v>0</v>
      </c>
      <c r="K380" s="204">
        <f t="shared" si="116"/>
        <v>0</v>
      </c>
      <c r="L380" s="341">
        <f t="shared" si="117"/>
        <v>21.5</v>
      </c>
      <c r="M380" s="323">
        <f t="shared" si="118"/>
        <v>54.61</v>
      </c>
      <c r="N380" s="204">
        <f t="shared" si="119"/>
        <v>0</v>
      </c>
      <c r="O380" s="342">
        <v>0.5</v>
      </c>
      <c r="P380" s="323">
        <f t="shared" si="120"/>
        <v>1.27</v>
      </c>
      <c r="Q380" s="204">
        <f t="shared" si="121"/>
        <v>5.842</v>
      </c>
      <c r="R380" s="323">
        <f t="shared" si="122"/>
        <v>0</v>
      </c>
      <c r="V380" s="204"/>
    </row>
    <row r="381" spans="1:22" s="257" customFormat="1" ht="63" customHeight="1">
      <c r="A381" s="281">
        <v>3</v>
      </c>
      <c r="B381" s="299" t="s">
        <v>594</v>
      </c>
      <c r="C381" s="281">
        <v>52257</v>
      </c>
      <c r="D381" s="219">
        <v>1</v>
      </c>
      <c r="E381" s="226">
        <v>566.8</v>
      </c>
      <c r="F381" s="228">
        <f t="shared" si="113"/>
        <v>566.8</v>
      </c>
      <c r="G381" s="259">
        <v>21.5</v>
      </c>
      <c r="H381" s="228">
        <f t="shared" si="114"/>
        <v>54.61</v>
      </c>
      <c r="I381" s="229">
        <f t="shared" si="115"/>
        <v>30952.947999999997</v>
      </c>
      <c r="J381" s="340">
        <v>0</v>
      </c>
      <c r="K381" s="229">
        <f t="shared" si="116"/>
        <v>0</v>
      </c>
      <c r="L381" s="261">
        <f t="shared" si="117"/>
        <v>21.5</v>
      </c>
      <c r="M381" s="228">
        <f t="shared" si="118"/>
        <v>54.61</v>
      </c>
      <c r="N381" s="204">
        <f t="shared" si="119"/>
        <v>0</v>
      </c>
      <c r="O381" s="231">
        <v>-0.43</v>
      </c>
      <c r="P381" s="228">
        <f t="shared" si="120"/>
        <v>-1.0922</v>
      </c>
      <c r="Q381" s="229">
        <f t="shared" si="121"/>
        <v>-619.05896</v>
      </c>
      <c r="R381" s="228">
        <f t="shared" si="122"/>
        <v>0</v>
      </c>
      <c r="V381" s="229"/>
    </row>
    <row r="382" spans="1:22" s="8" customFormat="1" ht="16.5" customHeight="1">
      <c r="A382" s="10">
        <v>3</v>
      </c>
      <c r="B382" s="301" t="s">
        <v>595</v>
      </c>
      <c r="C382" s="413" t="s">
        <v>593</v>
      </c>
      <c r="D382" s="337">
        <v>1</v>
      </c>
      <c r="E382" s="226">
        <v>4.6</v>
      </c>
      <c r="F382" s="323">
        <f t="shared" si="113"/>
        <v>4.6</v>
      </c>
      <c r="G382" s="339">
        <v>21.48</v>
      </c>
      <c r="H382" s="323">
        <f t="shared" si="114"/>
        <v>54.559200000000004</v>
      </c>
      <c r="I382" s="204">
        <f t="shared" si="115"/>
        <v>250.97232</v>
      </c>
      <c r="J382" s="340">
        <v>0</v>
      </c>
      <c r="K382" s="204">
        <f t="shared" si="116"/>
        <v>0</v>
      </c>
      <c r="L382" s="341">
        <f t="shared" si="117"/>
        <v>21.48</v>
      </c>
      <c r="M382" s="323">
        <f t="shared" si="118"/>
        <v>54.559200000000004</v>
      </c>
      <c r="N382" s="204">
        <f t="shared" si="119"/>
        <v>0</v>
      </c>
      <c r="O382" s="342">
        <v>-0.43</v>
      </c>
      <c r="P382" s="323">
        <f t="shared" si="120"/>
        <v>-1.0922</v>
      </c>
      <c r="Q382" s="204">
        <f t="shared" si="121"/>
        <v>-5.02412</v>
      </c>
      <c r="R382" s="323">
        <f t="shared" si="122"/>
        <v>0</v>
      </c>
      <c r="V382" s="204"/>
    </row>
    <row r="383" spans="1:27" s="355" customFormat="1" ht="49.5" customHeight="1">
      <c r="A383" s="281">
        <v>3</v>
      </c>
      <c r="B383" s="299" t="s">
        <v>596</v>
      </c>
      <c r="C383" s="281">
        <v>52324</v>
      </c>
      <c r="D383" s="219">
        <v>1</v>
      </c>
      <c r="E383" s="226">
        <v>278.3</v>
      </c>
      <c r="F383" s="323">
        <f t="shared" si="113"/>
        <v>278.3</v>
      </c>
      <c r="G383" s="259">
        <v>21.6</v>
      </c>
      <c r="H383" s="228">
        <f t="shared" si="114"/>
        <v>54.864000000000004</v>
      </c>
      <c r="I383" s="229">
        <f t="shared" si="115"/>
        <v>15268.651200000002</v>
      </c>
      <c r="J383" s="340">
        <v>0</v>
      </c>
      <c r="K383" s="229">
        <f t="shared" si="116"/>
        <v>0</v>
      </c>
      <c r="L383" s="261">
        <f t="shared" si="117"/>
        <v>21.6</v>
      </c>
      <c r="M383" s="228">
        <f t="shared" si="118"/>
        <v>54.864000000000004</v>
      </c>
      <c r="N383" s="204">
        <f t="shared" si="119"/>
        <v>0</v>
      </c>
      <c r="O383" s="231">
        <v>1.9</v>
      </c>
      <c r="P383" s="228">
        <f t="shared" si="120"/>
        <v>4.826</v>
      </c>
      <c r="Q383" s="229">
        <f t="shared" si="121"/>
        <v>1343.0757999999998</v>
      </c>
      <c r="R383" s="228">
        <f t="shared" si="122"/>
        <v>0</v>
      </c>
      <c r="S383" s="257"/>
      <c r="T383" s="257"/>
      <c r="U383" s="257"/>
      <c r="V383" s="356"/>
      <c r="W383" s="257"/>
      <c r="X383" s="257"/>
      <c r="Z383" s="257"/>
      <c r="AA383" s="257"/>
    </row>
    <row r="384" spans="1:22" s="257" customFormat="1" ht="16.5" customHeight="1">
      <c r="A384" s="256">
        <v>3</v>
      </c>
      <c r="B384" s="301" t="s">
        <v>597</v>
      </c>
      <c r="C384" s="413" t="s">
        <v>598</v>
      </c>
      <c r="D384" s="219">
        <v>1</v>
      </c>
      <c r="E384" s="226">
        <v>3.5</v>
      </c>
      <c r="F384" s="323">
        <f t="shared" si="113"/>
        <v>3.5</v>
      </c>
      <c r="G384" s="259">
        <v>20.77</v>
      </c>
      <c r="H384" s="228">
        <f t="shared" si="114"/>
        <v>52.7558</v>
      </c>
      <c r="I384" s="229">
        <f t="shared" si="115"/>
        <v>184.6453</v>
      </c>
      <c r="J384" s="340">
        <v>0</v>
      </c>
      <c r="K384" s="229">
        <f t="shared" si="116"/>
        <v>0</v>
      </c>
      <c r="L384" s="261">
        <f t="shared" si="117"/>
        <v>20.77</v>
      </c>
      <c r="M384" s="228">
        <f t="shared" si="118"/>
        <v>52.7558</v>
      </c>
      <c r="N384" s="204">
        <f t="shared" si="119"/>
        <v>0</v>
      </c>
      <c r="O384" s="231">
        <v>0.29</v>
      </c>
      <c r="P384" s="228">
        <f t="shared" si="120"/>
        <v>0.7365999999999999</v>
      </c>
      <c r="Q384" s="229">
        <f t="shared" si="121"/>
        <v>2.5780999999999996</v>
      </c>
      <c r="R384" s="228">
        <f t="shared" si="122"/>
        <v>0</v>
      </c>
      <c r="V384" s="229"/>
    </row>
    <row r="385" spans="1:22" s="8" customFormat="1" ht="16.5" customHeight="1">
      <c r="A385" s="10">
        <v>3</v>
      </c>
      <c r="B385" s="301" t="s">
        <v>599</v>
      </c>
      <c r="C385" s="413" t="s">
        <v>600</v>
      </c>
      <c r="D385" s="337">
        <v>1</v>
      </c>
      <c r="E385" s="226">
        <v>2620.3</v>
      </c>
      <c r="F385" s="323">
        <f t="shared" si="113"/>
        <v>2620.3</v>
      </c>
      <c r="G385" s="339">
        <v>21.6</v>
      </c>
      <c r="H385" s="323">
        <f t="shared" si="114"/>
        <v>54.864000000000004</v>
      </c>
      <c r="I385" s="204">
        <f t="shared" si="115"/>
        <v>143760.13920000003</v>
      </c>
      <c r="J385" s="340">
        <v>0</v>
      </c>
      <c r="K385" s="204">
        <f t="shared" si="116"/>
        <v>0</v>
      </c>
      <c r="L385" s="341">
        <f t="shared" si="117"/>
        <v>21.6</v>
      </c>
      <c r="M385" s="323">
        <f t="shared" si="118"/>
        <v>54.864000000000004</v>
      </c>
      <c r="N385" s="204">
        <f t="shared" si="119"/>
        <v>0</v>
      </c>
      <c r="O385" s="342">
        <v>-1.81</v>
      </c>
      <c r="P385" s="323">
        <f t="shared" si="120"/>
        <v>-4.5974</v>
      </c>
      <c r="Q385" s="204">
        <f t="shared" si="121"/>
        <v>-12046.567220000003</v>
      </c>
      <c r="R385" s="323">
        <f t="shared" si="122"/>
        <v>0</v>
      </c>
      <c r="V385" s="204"/>
    </row>
    <row r="386" spans="1:27" s="211" customFormat="1" ht="16.5" customHeight="1">
      <c r="A386" s="186">
        <v>3</v>
      </c>
      <c r="B386" s="301" t="s">
        <v>601</v>
      </c>
      <c r="C386" s="413">
        <v>49847</v>
      </c>
      <c r="D386" s="337">
        <v>1</v>
      </c>
      <c r="E386" s="226">
        <v>73</v>
      </c>
      <c r="F386" s="323">
        <f t="shared" si="113"/>
        <v>73</v>
      </c>
      <c r="G386" s="339">
        <v>21.6</v>
      </c>
      <c r="H386" s="323">
        <f t="shared" si="114"/>
        <v>54.864000000000004</v>
      </c>
      <c r="I386" s="204">
        <f t="shared" si="115"/>
        <v>4005.072</v>
      </c>
      <c r="J386" s="340">
        <v>0</v>
      </c>
      <c r="K386" s="204">
        <f t="shared" si="116"/>
        <v>0</v>
      </c>
      <c r="L386" s="341">
        <f t="shared" si="117"/>
        <v>21.6</v>
      </c>
      <c r="M386" s="323">
        <f t="shared" si="118"/>
        <v>54.864000000000004</v>
      </c>
      <c r="N386" s="204">
        <f t="shared" si="119"/>
        <v>0</v>
      </c>
      <c r="O386" s="342">
        <v>-1.64</v>
      </c>
      <c r="P386" s="323">
        <f t="shared" si="120"/>
        <v>-4.1655999999999995</v>
      </c>
      <c r="Q386" s="204">
        <f t="shared" si="121"/>
        <v>-304.0888</v>
      </c>
      <c r="R386" s="323">
        <f t="shared" si="122"/>
        <v>0</v>
      </c>
      <c r="S386" s="8"/>
      <c r="T386" s="8"/>
      <c r="U386" s="8"/>
      <c r="V386" s="212"/>
      <c r="W386" s="8"/>
      <c r="X386" s="8"/>
      <c r="Z386" s="8"/>
      <c r="AA386" s="8"/>
    </row>
    <row r="387" spans="1:22" s="8" customFormat="1" ht="16.5" customHeight="1">
      <c r="A387" s="10">
        <v>3</v>
      </c>
      <c r="B387" s="301" t="s">
        <v>602</v>
      </c>
      <c r="C387" s="413" t="s">
        <v>598</v>
      </c>
      <c r="D387" s="337">
        <v>1</v>
      </c>
      <c r="E387" s="226">
        <v>5.3</v>
      </c>
      <c r="F387" s="323">
        <f t="shared" si="113"/>
        <v>5.3</v>
      </c>
      <c r="G387" s="339">
        <v>21.78</v>
      </c>
      <c r="H387" s="323">
        <f t="shared" si="114"/>
        <v>55.321200000000005</v>
      </c>
      <c r="I387" s="204">
        <f t="shared" si="115"/>
        <v>293.20236</v>
      </c>
      <c r="J387" s="340">
        <v>0</v>
      </c>
      <c r="K387" s="204">
        <f t="shared" si="116"/>
        <v>0</v>
      </c>
      <c r="L387" s="341">
        <f t="shared" si="117"/>
        <v>21.78</v>
      </c>
      <c r="M387" s="323">
        <f t="shared" si="118"/>
        <v>55.321200000000005</v>
      </c>
      <c r="N387" s="204">
        <f t="shared" si="119"/>
        <v>0</v>
      </c>
      <c r="O387" s="342">
        <v>-0.25</v>
      </c>
      <c r="P387" s="323">
        <f t="shared" si="120"/>
        <v>-0.635</v>
      </c>
      <c r="Q387" s="204">
        <f t="shared" si="121"/>
        <v>-3.3655</v>
      </c>
      <c r="R387" s="323">
        <f t="shared" si="122"/>
        <v>0</v>
      </c>
      <c r="V387" s="204"/>
    </row>
    <row r="388" spans="1:22" s="8" customFormat="1" ht="16.5" customHeight="1">
      <c r="A388" s="390"/>
      <c r="B388" s="425"/>
      <c r="C388" s="390"/>
      <c r="D388" s="426"/>
      <c r="E388" s="427"/>
      <c r="F388" s="428"/>
      <c r="G388" s="429"/>
      <c r="H388" s="428"/>
      <c r="I388" s="430"/>
      <c r="J388" s="431"/>
      <c r="K388" s="430"/>
      <c r="L388" s="432"/>
      <c r="M388" s="428"/>
      <c r="N388" s="430"/>
      <c r="O388" s="433"/>
      <c r="P388" s="428"/>
      <c r="Q388" s="430"/>
      <c r="R388" s="428"/>
      <c r="V388" s="204"/>
    </row>
    <row r="389" spans="1:22" s="8" customFormat="1" ht="16.5" customHeight="1">
      <c r="A389" s="186">
        <v>2</v>
      </c>
      <c r="B389" s="247" t="s">
        <v>603</v>
      </c>
      <c r="C389" s="224">
        <v>49878</v>
      </c>
      <c r="D389" s="195"/>
      <c r="E389" s="434"/>
      <c r="F389" s="435"/>
      <c r="G389" s="436"/>
      <c r="H389" s="435"/>
      <c r="I389" s="254"/>
      <c r="J389" s="325"/>
      <c r="K389" s="224"/>
      <c r="L389" s="481"/>
      <c r="M389" s="435"/>
      <c r="N389" s="224"/>
      <c r="O389" s="188"/>
      <c r="P389" s="252"/>
      <c r="Q389" s="252"/>
      <c r="R389" s="210"/>
      <c r="V389" s="204"/>
    </row>
    <row r="390" spans="1:22" s="8" customFormat="1" ht="16.5" customHeight="1">
      <c r="A390" s="10"/>
      <c r="B390" s="232" t="s">
        <v>248</v>
      </c>
      <c r="C390" s="328">
        <f>SUM(F392:F399)</f>
        <v>8012.8</v>
      </c>
      <c r="D390" s="346" t="s">
        <v>177</v>
      </c>
      <c r="E390" s="367" t="s">
        <v>183</v>
      </c>
      <c r="F390" s="435"/>
      <c r="G390" s="436"/>
      <c r="H390" s="435"/>
      <c r="J390" s="325"/>
      <c r="L390" s="481"/>
      <c r="M390" s="435"/>
      <c r="N390" s="224"/>
      <c r="O390" s="188"/>
      <c r="P390" s="252"/>
      <c r="Q390" s="252"/>
      <c r="R390" s="210"/>
      <c r="V390" s="204"/>
    </row>
    <row r="391" spans="1:33" s="8" customFormat="1" ht="16.5" customHeight="1">
      <c r="A391" s="10"/>
      <c r="B391" s="232" t="s">
        <v>237</v>
      </c>
      <c r="C391" s="438">
        <v>8014</v>
      </c>
      <c r="D391" s="346" t="s">
        <v>177</v>
      </c>
      <c r="E391" s="377">
        <f>C391-C390</f>
        <v>1.199999999999818</v>
      </c>
      <c r="I391" s="483"/>
      <c r="O391" s="188"/>
      <c r="T391"/>
      <c r="U391"/>
      <c r="V391"/>
      <c r="W391"/>
      <c r="X391"/>
      <c r="Y391"/>
      <c r="Z391"/>
      <c r="AA391"/>
      <c r="AB391"/>
      <c r="AC391"/>
      <c r="AD391"/>
      <c r="AE391"/>
      <c r="AF391"/>
      <c r="AG391"/>
    </row>
    <row r="392" spans="1:22" s="8" customFormat="1" ht="16.5" customHeight="1">
      <c r="A392" s="10">
        <v>3</v>
      </c>
      <c r="B392" s="8" t="s">
        <v>604</v>
      </c>
      <c r="C392" s="10">
        <v>49817</v>
      </c>
      <c r="D392" s="337">
        <v>1</v>
      </c>
      <c r="E392" s="226">
        <v>3626.6</v>
      </c>
      <c r="F392" s="323">
        <f aca="true" t="shared" si="123" ref="F392:F399">E392*D392</f>
        <v>3626.6</v>
      </c>
      <c r="G392" s="397">
        <v>43.539</v>
      </c>
      <c r="H392" s="323">
        <f aca="true" t="shared" si="124" ref="H392:H399">G392*2.54</f>
        <v>110.58906</v>
      </c>
      <c r="I392" s="204">
        <f aca="true" t="shared" si="125" ref="I392:I399">F392*H392</f>
        <v>401062.284996</v>
      </c>
      <c r="J392" s="331">
        <v>12257.8</v>
      </c>
      <c r="K392" s="323">
        <f aca="true" t="shared" si="126" ref="K392:K399">J392*D392</f>
        <v>12257.8</v>
      </c>
      <c r="L392" s="341">
        <v>43.539</v>
      </c>
      <c r="M392" s="323">
        <f aca="true" t="shared" si="127" ref="M392:M399">L392*2.54</f>
        <v>110.58906</v>
      </c>
      <c r="N392" s="204">
        <f aca="true" t="shared" si="128" ref="N392:N399">K392*M392</f>
        <v>1355578.5796679999</v>
      </c>
      <c r="O392" s="342">
        <v>0</v>
      </c>
      <c r="P392" s="323">
        <f aca="true" t="shared" si="129" ref="P392:P399">O392*2.54</f>
        <v>0</v>
      </c>
      <c r="Q392" s="204">
        <f aca="true" t="shared" si="130" ref="Q392:Q399">F392*P392</f>
        <v>0</v>
      </c>
      <c r="R392" s="323">
        <f aca="true" t="shared" si="131" ref="R392:R399">K392*P392</f>
        <v>0</v>
      </c>
      <c r="V392" s="204"/>
    </row>
    <row r="393" spans="1:22" s="211" customFormat="1" ht="16.5" customHeight="1">
      <c r="A393" s="10">
        <v>3</v>
      </c>
      <c r="B393" s="8" t="s">
        <v>605</v>
      </c>
      <c r="C393" s="10">
        <v>49817</v>
      </c>
      <c r="D393" s="337">
        <v>1</v>
      </c>
      <c r="E393" s="226">
        <v>3625.6</v>
      </c>
      <c r="F393" s="323">
        <f t="shared" si="123"/>
        <v>3625.6</v>
      </c>
      <c r="G393" s="397">
        <v>33.671</v>
      </c>
      <c r="H393" s="323">
        <f t="shared" si="124"/>
        <v>85.52434</v>
      </c>
      <c r="I393" s="204">
        <f t="shared" si="125"/>
        <v>310077.047104</v>
      </c>
      <c r="J393" s="331">
        <v>12257.8</v>
      </c>
      <c r="K393" s="323">
        <f t="shared" si="126"/>
        <v>12257.8</v>
      </c>
      <c r="L393" s="341">
        <v>33.671</v>
      </c>
      <c r="M393" s="323">
        <f t="shared" si="127"/>
        <v>85.52434</v>
      </c>
      <c r="N393" s="204">
        <f t="shared" si="128"/>
        <v>1048340.2548519999</v>
      </c>
      <c r="O393" s="342">
        <v>0</v>
      </c>
      <c r="P393" s="323">
        <f t="shared" si="129"/>
        <v>0</v>
      </c>
      <c r="Q393" s="204">
        <f t="shared" si="130"/>
        <v>0</v>
      </c>
      <c r="R393" s="323">
        <f t="shared" si="131"/>
        <v>0</v>
      </c>
      <c r="V393" s="212"/>
    </row>
    <row r="394" spans="1:22" s="8" customFormat="1" ht="16.5" customHeight="1">
      <c r="A394" s="10">
        <v>3</v>
      </c>
      <c r="B394" s="8" t="s">
        <v>606</v>
      </c>
      <c r="C394" s="10">
        <v>49818</v>
      </c>
      <c r="D394" s="337">
        <v>1</v>
      </c>
      <c r="E394" s="226">
        <v>683.3</v>
      </c>
      <c r="F394" s="323">
        <f t="shared" si="123"/>
        <v>683.3</v>
      </c>
      <c r="G394" s="397">
        <v>38.935</v>
      </c>
      <c r="H394" s="323">
        <f t="shared" si="124"/>
        <v>98.8949</v>
      </c>
      <c r="I394" s="204">
        <f t="shared" si="125"/>
        <v>67574.88517</v>
      </c>
      <c r="J394" s="331">
        <v>436.8</v>
      </c>
      <c r="K394" s="323">
        <f t="shared" si="126"/>
        <v>436.8</v>
      </c>
      <c r="L394" s="341">
        <f aca="true" t="shared" si="132" ref="L394:L399">G394</f>
        <v>38.935</v>
      </c>
      <c r="M394" s="323">
        <f t="shared" si="127"/>
        <v>98.8949</v>
      </c>
      <c r="N394" s="204">
        <f t="shared" si="128"/>
        <v>43197.29232000001</v>
      </c>
      <c r="O394" s="342">
        <v>0</v>
      </c>
      <c r="P394" s="323">
        <f t="shared" si="129"/>
        <v>0</v>
      </c>
      <c r="Q394" s="204">
        <f t="shared" si="130"/>
        <v>0</v>
      </c>
      <c r="R394" s="323">
        <f t="shared" si="131"/>
        <v>0</v>
      </c>
      <c r="V394" s="204"/>
    </row>
    <row r="395" spans="1:22" s="8" customFormat="1" ht="16.5" customHeight="1">
      <c r="A395" s="10">
        <v>3</v>
      </c>
      <c r="B395" s="8" t="s">
        <v>607</v>
      </c>
      <c r="C395" s="413" t="s">
        <v>608</v>
      </c>
      <c r="D395" s="337">
        <v>1</v>
      </c>
      <c r="E395" s="226">
        <v>13.5</v>
      </c>
      <c r="F395" s="323">
        <f t="shared" si="123"/>
        <v>13.5</v>
      </c>
      <c r="G395" s="397">
        <v>38.625</v>
      </c>
      <c r="H395" s="323">
        <f t="shared" si="124"/>
        <v>98.1075</v>
      </c>
      <c r="I395" s="204">
        <f t="shared" si="125"/>
        <v>1324.45125</v>
      </c>
      <c r="J395" s="260">
        <v>0</v>
      </c>
      <c r="K395" s="323">
        <f t="shared" si="126"/>
        <v>0</v>
      </c>
      <c r="L395" s="341">
        <f t="shared" si="132"/>
        <v>38.625</v>
      </c>
      <c r="M395" s="323">
        <f t="shared" si="127"/>
        <v>98.1075</v>
      </c>
      <c r="N395" s="204">
        <f t="shared" si="128"/>
        <v>0</v>
      </c>
      <c r="O395" s="342">
        <v>0</v>
      </c>
      <c r="P395" s="323">
        <f t="shared" si="129"/>
        <v>0</v>
      </c>
      <c r="Q395" s="204">
        <f t="shared" si="130"/>
        <v>0</v>
      </c>
      <c r="R395" s="323">
        <f t="shared" si="131"/>
        <v>0</v>
      </c>
      <c r="V395" s="204"/>
    </row>
    <row r="396" spans="1:22" s="8" customFormat="1" ht="16.5" customHeight="1">
      <c r="A396" s="10">
        <v>3</v>
      </c>
      <c r="B396" s="8" t="s">
        <v>609</v>
      </c>
      <c r="C396" s="484">
        <v>52412</v>
      </c>
      <c r="D396" s="337">
        <v>1</v>
      </c>
      <c r="E396" s="226">
        <v>16.7</v>
      </c>
      <c r="F396" s="323">
        <f t="shared" si="123"/>
        <v>16.7</v>
      </c>
      <c r="G396" s="397">
        <v>38.625</v>
      </c>
      <c r="H396" s="323">
        <f t="shared" si="124"/>
        <v>98.1075</v>
      </c>
      <c r="I396" s="204">
        <f t="shared" si="125"/>
        <v>1638.39525</v>
      </c>
      <c r="J396" s="331">
        <v>7.32</v>
      </c>
      <c r="K396" s="323">
        <f t="shared" si="126"/>
        <v>7.32</v>
      </c>
      <c r="L396" s="341">
        <f t="shared" si="132"/>
        <v>38.625</v>
      </c>
      <c r="M396" s="323">
        <f t="shared" si="127"/>
        <v>98.1075</v>
      </c>
      <c r="N396" s="204">
        <f t="shared" si="128"/>
        <v>718.1469000000001</v>
      </c>
      <c r="O396" s="342">
        <v>0</v>
      </c>
      <c r="P396" s="323">
        <f t="shared" si="129"/>
        <v>0</v>
      </c>
      <c r="Q396" s="204">
        <f t="shared" si="130"/>
        <v>0</v>
      </c>
      <c r="R396" s="323">
        <f t="shared" si="131"/>
        <v>0</v>
      </c>
      <c r="V396" s="204"/>
    </row>
    <row r="397" spans="1:22" s="8" customFormat="1" ht="16.5" customHeight="1">
      <c r="A397" s="10">
        <v>3</v>
      </c>
      <c r="B397" s="8" t="s">
        <v>610</v>
      </c>
      <c r="C397" s="10">
        <v>49883</v>
      </c>
      <c r="D397" s="337">
        <v>1</v>
      </c>
      <c r="E397" s="226">
        <v>21.2</v>
      </c>
      <c r="F397" s="323">
        <f t="shared" si="123"/>
        <v>21.2</v>
      </c>
      <c r="G397" s="397">
        <v>38.625</v>
      </c>
      <c r="H397" s="323">
        <f t="shared" si="124"/>
        <v>98.1075</v>
      </c>
      <c r="I397" s="204">
        <f t="shared" si="125"/>
        <v>2079.879</v>
      </c>
      <c r="J397" s="340">
        <v>0</v>
      </c>
      <c r="K397" s="204">
        <f t="shared" si="126"/>
        <v>0</v>
      </c>
      <c r="L397" s="341">
        <f t="shared" si="132"/>
        <v>38.625</v>
      </c>
      <c r="M397" s="323">
        <f t="shared" si="127"/>
        <v>98.1075</v>
      </c>
      <c r="N397" s="204">
        <f t="shared" si="128"/>
        <v>0</v>
      </c>
      <c r="O397" s="342">
        <v>3.95</v>
      </c>
      <c r="P397" s="323">
        <f t="shared" si="129"/>
        <v>10.033000000000001</v>
      </c>
      <c r="Q397" s="204">
        <f t="shared" si="130"/>
        <v>212.69960000000003</v>
      </c>
      <c r="R397" s="323">
        <f t="shared" si="131"/>
        <v>0</v>
      </c>
      <c r="V397" s="204"/>
    </row>
    <row r="398" spans="1:22" s="8" customFormat="1" ht="16.5" customHeight="1">
      <c r="A398" s="10">
        <v>3</v>
      </c>
      <c r="B398" s="8" t="s">
        <v>611</v>
      </c>
      <c r="C398" s="442">
        <v>52405</v>
      </c>
      <c r="D398" s="337">
        <v>1</v>
      </c>
      <c r="E398" s="226">
        <v>18.8</v>
      </c>
      <c r="F398" s="323">
        <f t="shared" si="123"/>
        <v>18.8</v>
      </c>
      <c r="G398" s="397">
        <v>38.625</v>
      </c>
      <c r="H398" s="323">
        <f t="shared" si="124"/>
        <v>98.1075</v>
      </c>
      <c r="I398" s="204">
        <f t="shared" si="125"/>
        <v>1844.421</v>
      </c>
      <c r="J398" s="340">
        <v>0</v>
      </c>
      <c r="K398" s="204">
        <f t="shared" si="126"/>
        <v>0</v>
      </c>
      <c r="L398" s="341">
        <f t="shared" si="132"/>
        <v>38.625</v>
      </c>
      <c r="M398" s="323">
        <f t="shared" si="127"/>
        <v>98.1075</v>
      </c>
      <c r="N398" s="204">
        <f t="shared" si="128"/>
        <v>0</v>
      </c>
      <c r="O398" s="342">
        <v>3.95</v>
      </c>
      <c r="P398" s="323">
        <f t="shared" si="129"/>
        <v>10.033000000000001</v>
      </c>
      <c r="Q398" s="204">
        <f t="shared" si="130"/>
        <v>188.62040000000002</v>
      </c>
      <c r="R398" s="323">
        <f t="shared" si="131"/>
        <v>0</v>
      </c>
      <c r="V398" s="204"/>
    </row>
    <row r="399" spans="1:22" s="8" customFormat="1" ht="16.5" customHeight="1">
      <c r="A399" s="10">
        <v>3</v>
      </c>
      <c r="B399" s="8" t="s">
        <v>612</v>
      </c>
      <c r="C399" s="413" t="s">
        <v>613</v>
      </c>
      <c r="D399" s="337">
        <v>1</v>
      </c>
      <c r="E399" s="226">
        <v>7.1</v>
      </c>
      <c r="F399" s="323">
        <f t="shared" si="123"/>
        <v>7.1</v>
      </c>
      <c r="G399" s="397">
        <v>38.625</v>
      </c>
      <c r="H399" s="323">
        <f t="shared" si="124"/>
        <v>98.1075</v>
      </c>
      <c r="I399" s="204">
        <f t="shared" si="125"/>
        <v>696.5632499999999</v>
      </c>
      <c r="J399" s="340">
        <v>0</v>
      </c>
      <c r="K399" s="204">
        <f t="shared" si="126"/>
        <v>0</v>
      </c>
      <c r="L399" s="341">
        <f t="shared" si="132"/>
        <v>38.625</v>
      </c>
      <c r="M399" s="323">
        <f t="shared" si="127"/>
        <v>98.1075</v>
      </c>
      <c r="N399" s="204">
        <f t="shared" si="128"/>
        <v>0</v>
      </c>
      <c r="O399" s="342">
        <v>3.95</v>
      </c>
      <c r="P399" s="323">
        <f t="shared" si="129"/>
        <v>10.033000000000001</v>
      </c>
      <c r="Q399" s="204">
        <f t="shared" si="130"/>
        <v>71.2343</v>
      </c>
      <c r="R399" s="323">
        <f t="shared" si="131"/>
        <v>0</v>
      </c>
      <c r="V399" s="204"/>
    </row>
    <row r="400" spans="1:22" s="8" customFormat="1" ht="16.5" customHeight="1">
      <c r="A400" s="390"/>
      <c r="B400" s="395"/>
      <c r="C400" s="390"/>
      <c r="D400" s="426"/>
      <c r="E400" s="427"/>
      <c r="F400" s="428"/>
      <c r="G400" s="429"/>
      <c r="H400" s="428"/>
      <c r="I400" s="430"/>
      <c r="J400" s="431"/>
      <c r="K400" s="430"/>
      <c r="L400" s="432"/>
      <c r="M400" s="428"/>
      <c r="N400" s="430"/>
      <c r="O400" s="433"/>
      <c r="P400" s="428"/>
      <c r="Q400" s="430"/>
      <c r="R400" s="428"/>
      <c r="V400" s="204"/>
    </row>
    <row r="401" spans="1:22" s="257" customFormat="1" ht="16.5" customHeight="1">
      <c r="A401" s="281">
        <v>2</v>
      </c>
      <c r="B401" s="362" t="s">
        <v>614</v>
      </c>
      <c r="C401" s="485">
        <v>49877</v>
      </c>
      <c r="D401" s="194"/>
      <c r="E401" s="434"/>
      <c r="F401" s="289"/>
      <c r="G401" s="486"/>
      <c r="H401" s="289"/>
      <c r="I401" s="290"/>
      <c r="J401" s="325"/>
      <c r="K401" s="485"/>
      <c r="L401" s="131"/>
      <c r="M401" s="289"/>
      <c r="N401" s="485"/>
      <c r="O401" s="401"/>
      <c r="P401" s="307"/>
      <c r="Q401" s="307"/>
      <c r="R401" s="287"/>
      <c r="V401" s="229"/>
    </row>
    <row r="402" spans="1:22" s="257" customFormat="1" ht="16.5" customHeight="1">
      <c r="A402" s="256"/>
      <c r="B402" s="439" t="s">
        <v>248</v>
      </c>
      <c r="C402" s="487">
        <f>SUM(F404:F416)</f>
        <v>5170</v>
      </c>
      <c r="D402" s="346" t="s">
        <v>177</v>
      </c>
      <c r="E402" s="367" t="s">
        <v>183</v>
      </c>
      <c r="F402" s="289"/>
      <c r="G402" s="486"/>
      <c r="H402" s="289"/>
      <c r="J402" s="325"/>
      <c r="L402" s="131"/>
      <c r="M402" s="289"/>
      <c r="N402" s="485"/>
      <c r="O402" s="401"/>
      <c r="P402" s="307"/>
      <c r="Q402" s="307"/>
      <c r="R402" s="287"/>
      <c r="V402" s="229"/>
    </row>
    <row r="403" spans="1:33" s="257" customFormat="1" ht="16.5" customHeight="1">
      <c r="A403" s="256"/>
      <c r="B403" s="439" t="s">
        <v>237</v>
      </c>
      <c r="C403" s="434">
        <v>5169.3</v>
      </c>
      <c r="D403" s="488" t="s">
        <v>177</v>
      </c>
      <c r="E403" s="377">
        <f>C403-C402</f>
        <v>-0.6999999999998181</v>
      </c>
      <c r="I403" s="400"/>
      <c r="O403" s="401"/>
      <c r="T403"/>
      <c r="U403"/>
      <c r="V403"/>
      <c r="W403"/>
      <c r="X403"/>
      <c r="Y403"/>
      <c r="Z403"/>
      <c r="AA403"/>
      <c r="AB403"/>
      <c r="AC403"/>
      <c r="AD403"/>
      <c r="AE403"/>
      <c r="AF403"/>
      <c r="AG403"/>
    </row>
    <row r="404" spans="1:22" s="257" customFormat="1" ht="16.5" customHeight="1">
      <c r="A404" s="256">
        <v>3</v>
      </c>
      <c r="B404" s="257" t="s">
        <v>615</v>
      </c>
      <c r="C404" s="256">
        <v>49830</v>
      </c>
      <c r="D404" s="219">
        <v>1</v>
      </c>
      <c r="E404" s="226">
        <v>1898.5</v>
      </c>
      <c r="F404" s="228">
        <f aca="true" t="shared" si="133" ref="F404:F410">E404*D404</f>
        <v>1898.5</v>
      </c>
      <c r="G404" s="259">
        <v>15.566</v>
      </c>
      <c r="H404" s="228">
        <f aca="true" t="shared" si="134" ref="H404:H410">G404*2.54</f>
        <v>39.53764</v>
      </c>
      <c r="I404" s="229">
        <f aca="true" t="shared" si="135" ref="I404:I410">F404*H404</f>
        <v>75062.20954000001</v>
      </c>
      <c r="J404" s="331">
        <v>5178.3</v>
      </c>
      <c r="K404" s="228">
        <f aca="true" t="shared" si="136" ref="K404:K410">J404*D404</f>
        <v>5178.3</v>
      </c>
      <c r="L404" s="261">
        <v>15.781</v>
      </c>
      <c r="M404" s="228">
        <f aca="true" t="shared" si="137" ref="M404:M410">L404*2.54</f>
        <v>40.08374</v>
      </c>
      <c r="N404" s="204">
        <f aca="true" t="shared" si="138" ref="N404:N410">K404*M404</f>
        <v>207565.630842</v>
      </c>
      <c r="O404" s="231">
        <v>0</v>
      </c>
      <c r="P404" s="228">
        <f aca="true" t="shared" si="139" ref="P404:P410">O404*2.54</f>
        <v>0</v>
      </c>
      <c r="Q404" s="229">
        <f aca="true" t="shared" si="140" ref="Q404:Q410">F404*P404</f>
        <v>0</v>
      </c>
      <c r="R404" s="228">
        <f aca="true" t="shared" si="141" ref="R404:R410">K404*P404</f>
        <v>0</v>
      </c>
      <c r="V404" s="229"/>
    </row>
    <row r="405" spans="1:22" s="489" customFormat="1" ht="16.5" customHeight="1">
      <c r="A405" s="256">
        <v>3</v>
      </c>
      <c r="B405" s="257" t="s">
        <v>616</v>
      </c>
      <c r="C405" s="304" t="s">
        <v>617</v>
      </c>
      <c r="D405" s="219">
        <v>1</v>
      </c>
      <c r="E405" s="226">
        <v>1440</v>
      </c>
      <c r="F405" s="228">
        <f t="shared" si="133"/>
        <v>1440</v>
      </c>
      <c r="G405" s="259">
        <v>9.015</v>
      </c>
      <c r="H405" s="228">
        <f t="shared" si="134"/>
        <v>22.898100000000003</v>
      </c>
      <c r="I405" s="229">
        <f t="shared" si="135"/>
        <v>32973.264</v>
      </c>
      <c r="J405" s="331">
        <v>656.2</v>
      </c>
      <c r="K405" s="228">
        <f t="shared" si="136"/>
        <v>656.2</v>
      </c>
      <c r="L405" s="261">
        <v>9.015</v>
      </c>
      <c r="M405" s="228">
        <f t="shared" si="137"/>
        <v>22.898100000000003</v>
      </c>
      <c r="N405" s="204">
        <f t="shared" si="138"/>
        <v>15025.733220000004</v>
      </c>
      <c r="O405" s="231">
        <v>0</v>
      </c>
      <c r="P405" s="228">
        <f t="shared" si="139"/>
        <v>0</v>
      </c>
      <c r="Q405" s="229">
        <f t="shared" si="140"/>
        <v>0</v>
      </c>
      <c r="R405" s="228">
        <f t="shared" si="141"/>
        <v>0</v>
      </c>
      <c r="V405" s="490"/>
    </row>
    <row r="406" spans="1:22" s="489" customFormat="1" ht="16.5" customHeight="1">
      <c r="A406" s="256">
        <v>3</v>
      </c>
      <c r="B406" s="257" t="s">
        <v>618</v>
      </c>
      <c r="C406" s="258">
        <v>52413</v>
      </c>
      <c r="D406" s="219">
        <v>1</v>
      </c>
      <c r="E406" s="226">
        <v>3.3</v>
      </c>
      <c r="F406" s="228">
        <f t="shared" si="133"/>
        <v>3.3</v>
      </c>
      <c r="G406" s="259">
        <v>10.5</v>
      </c>
      <c r="H406" s="228">
        <f t="shared" si="134"/>
        <v>26.67</v>
      </c>
      <c r="I406" s="229">
        <f t="shared" si="135"/>
        <v>88.011</v>
      </c>
      <c r="J406" s="340">
        <v>0</v>
      </c>
      <c r="K406" s="229">
        <f t="shared" si="136"/>
        <v>0</v>
      </c>
      <c r="L406" s="261">
        <f>G406</f>
        <v>10.5</v>
      </c>
      <c r="M406" s="228">
        <f t="shared" si="137"/>
        <v>26.67</v>
      </c>
      <c r="N406" s="204">
        <f t="shared" si="138"/>
        <v>0</v>
      </c>
      <c r="O406" s="231">
        <v>0</v>
      </c>
      <c r="P406" s="228">
        <f t="shared" si="139"/>
        <v>0</v>
      </c>
      <c r="Q406" s="229">
        <f t="shared" si="140"/>
        <v>0</v>
      </c>
      <c r="R406" s="228">
        <f t="shared" si="141"/>
        <v>0</v>
      </c>
      <c r="V406" s="490"/>
    </row>
    <row r="407" spans="1:22" s="257" customFormat="1" ht="16.5" customHeight="1">
      <c r="A407" s="256">
        <v>3</v>
      </c>
      <c r="B407" s="301" t="s">
        <v>619</v>
      </c>
      <c r="C407" s="304" t="s">
        <v>620</v>
      </c>
      <c r="D407" s="219">
        <v>1</v>
      </c>
      <c r="E407" s="226">
        <v>15.1</v>
      </c>
      <c r="F407" s="228">
        <f t="shared" si="133"/>
        <v>15.1</v>
      </c>
      <c r="G407" s="259">
        <v>10.7</v>
      </c>
      <c r="H407" s="228">
        <f t="shared" si="134"/>
        <v>27.177999999999997</v>
      </c>
      <c r="I407" s="229">
        <f t="shared" si="135"/>
        <v>410.38779999999997</v>
      </c>
      <c r="J407" s="340">
        <v>0</v>
      </c>
      <c r="K407" s="229">
        <f t="shared" si="136"/>
        <v>0</v>
      </c>
      <c r="L407" s="261">
        <f>G407</f>
        <v>10.7</v>
      </c>
      <c r="M407" s="228">
        <f t="shared" si="137"/>
        <v>27.177999999999997</v>
      </c>
      <c r="N407" s="204">
        <f t="shared" si="138"/>
        <v>0</v>
      </c>
      <c r="O407" s="231">
        <v>0</v>
      </c>
      <c r="P407" s="228">
        <f t="shared" si="139"/>
        <v>0</v>
      </c>
      <c r="Q407" s="229">
        <f t="shared" si="140"/>
        <v>0</v>
      </c>
      <c r="R407" s="228">
        <f t="shared" si="141"/>
        <v>0</v>
      </c>
      <c r="V407" s="256"/>
    </row>
    <row r="408" spans="1:22" s="257" customFormat="1" ht="16.5" customHeight="1">
      <c r="A408" s="256">
        <v>3</v>
      </c>
      <c r="B408" s="257" t="s">
        <v>621</v>
      </c>
      <c r="C408" s="256">
        <v>49829</v>
      </c>
      <c r="D408" s="219">
        <v>1</v>
      </c>
      <c r="E408" s="226">
        <v>1698.3</v>
      </c>
      <c r="F408" s="228">
        <f t="shared" si="133"/>
        <v>1698.3</v>
      </c>
      <c r="G408" s="259">
        <v>22.843</v>
      </c>
      <c r="H408" s="228">
        <f t="shared" si="134"/>
        <v>58.02122</v>
      </c>
      <c r="I408" s="229">
        <f t="shared" si="135"/>
        <v>98537.437926</v>
      </c>
      <c r="J408" s="331">
        <v>5240.9</v>
      </c>
      <c r="K408" s="228">
        <f t="shared" si="136"/>
        <v>5240.9</v>
      </c>
      <c r="L408" s="261">
        <v>22.919</v>
      </c>
      <c r="M408" s="228">
        <f t="shared" si="137"/>
        <v>58.21426</v>
      </c>
      <c r="N408" s="204">
        <f t="shared" si="138"/>
        <v>305095.11523399997</v>
      </c>
      <c r="O408" s="231">
        <v>0</v>
      </c>
      <c r="P408" s="228">
        <f t="shared" si="139"/>
        <v>0</v>
      </c>
      <c r="Q408" s="229">
        <f t="shared" si="140"/>
        <v>0</v>
      </c>
      <c r="R408" s="228">
        <f t="shared" si="141"/>
        <v>0</v>
      </c>
      <c r="V408" s="229"/>
    </row>
    <row r="409" spans="1:22" s="257" customFormat="1" ht="16.5" customHeight="1">
      <c r="A409" s="256">
        <v>3</v>
      </c>
      <c r="B409" s="257" t="s">
        <v>622</v>
      </c>
      <c r="C409" s="258">
        <v>52410</v>
      </c>
      <c r="D409" s="219">
        <v>1</v>
      </c>
      <c r="E409" s="226">
        <v>6.4</v>
      </c>
      <c r="F409" s="228">
        <f t="shared" si="133"/>
        <v>6.4</v>
      </c>
      <c r="G409" s="259">
        <v>19.77</v>
      </c>
      <c r="H409" s="228">
        <f t="shared" si="134"/>
        <v>50.2158</v>
      </c>
      <c r="I409" s="229">
        <f t="shared" si="135"/>
        <v>321.38112</v>
      </c>
      <c r="J409" s="331">
        <v>5.76</v>
      </c>
      <c r="K409" s="228">
        <f t="shared" si="136"/>
        <v>5.76</v>
      </c>
      <c r="L409" s="261">
        <f>G409</f>
        <v>19.77</v>
      </c>
      <c r="M409" s="228">
        <f t="shared" si="137"/>
        <v>50.2158</v>
      </c>
      <c r="N409" s="204">
        <f t="shared" si="138"/>
        <v>289.243008</v>
      </c>
      <c r="O409" s="231">
        <v>0</v>
      </c>
      <c r="P409" s="228">
        <f t="shared" si="139"/>
        <v>0</v>
      </c>
      <c r="Q409" s="229">
        <f t="shared" si="140"/>
        <v>0</v>
      </c>
      <c r="R409" s="228">
        <f t="shared" si="141"/>
        <v>0</v>
      </c>
      <c r="V409" s="229"/>
    </row>
    <row r="410" spans="1:22" s="257" customFormat="1" ht="16.5" customHeight="1">
      <c r="A410" s="256">
        <v>3</v>
      </c>
      <c r="B410" s="301" t="s">
        <v>623</v>
      </c>
      <c r="C410" s="258" t="s">
        <v>308</v>
      </c>
      <c r="D410" s="219">
        <v>1</v>
      </c>
      <c r="E410" s="226">
        <v>10.7</v>
      </c>
      <c r="F410" s="228">
        <f t="shared" si="133"/>
        <v>10.7</v>
      </c>
      <c r="G410" s="259">
        <v>19.87</v>
      </c>
      <c r="H410" s="228">
        <f t="shared" si="134"/>
        <v>50.469800000000006</v>
      </c>
      <c r="I410" s="229">
        <f t="shared" si="135"/>
        <v>540.02686</v>
      </c>
      <c r="J410" s="340">
        <v>0</v>
      </c>
      <c r="K410" s="229">
        <f t="shared" si="136"/>
        <v>0</v>
      </c>
      <c r="L410" s="261">
        <f>G410</f>
        <v>19.87</v>
      </c>
      <c r="M410" s="228">
        <f t="shared" si="137"/>
        <v>50.469800000000006</v>
      </c>
      <c r="N410" s="204">
        <f t="shared" si="138"/>
        <v>0</v>
      </c>
      <c r="O410" s="231">
        <v>0</v>
      </c>
      <c r="P410" s="228">
        <f t="shared" si="139"/>
        <v>0</v>
      </c>
      <c r="Q410" s="229">
        <f t="shared" si="140"/>
        <v>0</v>
      </c>
      <c r="R410" s="228">
        <f t="shared" si="141"/>
        <v>0</v>
      </c>
      <c r="V410" s="256"/>
    </row>
    <row r="411" spans="1:22" s="257" customFormat="1" ht="16.5" customHeight="1">
      <c r="A411" s="256"/>
      <c r="B411" s="301" t="s">
        <v>624</v>
      </c>
      <c r="C411" s="258"/>
      <c r="D411" s="219"/>
      <c r="E411" s="226"/>
      <c r="F411" s="228"/>
      <c r="G411" s="259"/>
      <c r="H411" s="228"/>
      <c r="I411" s="229"/>
      <c r="J411" s="340"/>
      <c r="K411" s="229"/>
      <c r="L411" s="261"/>
      <c r="M411" s="228"/>
      <c r="N411" s="204"/>
      <c r="O411" s="231"/>
      <c r="P411" s="228"/>
      <c r="Q411" s="229"/>
      <c r="R411" s="228"/>
      <c r="V411" s="256"/>
    </row>
    <row r="412" spans="1:22" s="257" customFormat="1" ht="16.5" customHeight="1">
      <c r="A412" s="256">
        <v>3</v>
      </c>
      <c r="B412" s="301" t="s">
        <v>625</v>
      </c>
      <c r="C412" s="304">
        <v>49848</v>
      </c>
      <c r="D412" s="219">
        <v>1</v>
      </c>
      <c r="E412" s="226">
        <v>25.6</v>
      </c>
      <c r="F412" s="228">
        <f>E412*D412</f>
        <v>25.6</v>
      </c>
      <c r="G412" s="259">
        <v>12.01</v>
      </c>
      <c r="H412" s="228">
        <f>G412*2.54</f>
        <v>30.5054</v>
      </c>
      <c r="I412" s="229">
        <f>F412*H412</f>
        <v>780.9382400000001</v>
      </c>
      <c r="J412" s="340">
        <v>0</v>
      </c>
      <c r="K412" s="229">
        <f>J412*D412</f>
        <v>0</v>
      </c>
      <c r="L412" s="261">
        <f>G412</f>
        <v>12.01</v>
      </c>
      <c r="M412" s="228">
        <f>L412*2.54</f>
        <v>30.5054</v>
      </c>
      <c r="N412" s="204">
        <f>K412*M412</f>
        <v>0</v>
      </c>
      <c r="O412" s="231">
        <v>-0.35</v>
      </c>
      <c r="P412" s="228">
        <f>O412*2.54</f>
        <v>-0.8889999999999999</v>
      </c>
      <c r="Q412" s="229">
        <f>F412*P412</f>
        <v>-22.758399999999998</v>
      </c>
      <c r="R412" s="228">
        <f>K412*P412</f>
        <v>0</v>
      </c>
      <c r="V412" s="256"/>
    </row>
    <row r="413" spans="1:22" s="355" customFormat="1" ht="16.5" customHeight="1">
      <c r="A413" s="256">
        <v>3</v>
      </c>
      <c r="B413" s="301" t="s">
        <v>626</v>
      </c>
      <c r="C413" s="304" t="s">
        <v>627</v>
      </c>
      <c r="D413" s="219">
        <v>1</v>
      </c>
      <c r="E413" s="226">
        <v>46.6</v>
      </c>
      <c r="F413" s="228">
        <f>E413*D413</f>
        <v>46.6</v>
      </c>
      <c r="G413" s="259">
        <v>12.01</v>
      </c>
      <c r="H413" s="228">
        <f>G413*2.54</f>
        <v>30.5054</v>
      </c>
      <c r="I413" s="229">
        <f>F413*H413</f>
        <v>1421.5516400000001</v>
      </c>
      <c r="J413" s="340">
        <v>0</v>
      </c>
      <c r="K413" s="229">
        <f>J413*D413</f>
        <v>0</v>
      </c>
      <c r="L413" s="261">
        <f>G413</f>
        <v>12.01</v>
      </c>
      <c r="M413" s="228">
        <f>L413*2.54</f>
        <v>30.5054</v>
      </c>
      <c r="N413" s="204">
        <f>K413*M413</f>
        <v>0</v>
      </c>
      <c r="O413" s="231">
        <v>0</v>
      </c>
      <c r="P413" s="228">
        <f>O413*2.54</f>
        <v>0</v>
      </c>
      <c r="Q413" s="229">
        <f>F413*P413</f>
        <v>0</v>
      </c>
      <c r="R413" s="228">
        <f>K413*P413</f>
        <v>0</v>
      </c>
      <c r="V413" s="281"/>
    </row>
    <row r="414" spans="1:22" s="257" customFormat="1" ht="16.5" customHeight="1">
      <c r="A414" s="256">
        <v>3</v>
      </c>
      <c r="B414" s="301" t="s">
        <v>628</v>
      </c>
      <c r="C414" s="304" t="s">
        <v>629</v>
      </c>
      <c r="D414" s="219">
        <v>1</v>
      </c>
      <c r="E414" s="226">
        <v>2.8</v>
      </c>
      <c r="F414" s="228">
        <f>E414*D414</f>
        <v>2.8</v>
      </c>
      <c r="G414" s="259">
        <v>12.01</v>
      </c>
      <c r="H414" s="228">
        <f>G414*2.54</f>
        <v>30.5054</v>
      </c>
      <c r="I414" s="229">
        <f>F414*H414</f>
        <v>85.41512</v>
      </c>
      <c r="J414" s="340">
        <v>0</v>
      </c>
      <c r="K414" s="229">
        <f>J414*D414</f>
        <v>0</v>
      </c>
      <c r="L414" s="261">
        <f>G414</f>
        <v>12.01</v>
      </c>
      <c r="M414" s="228">
        <f>L414*2.54</f>
        <v>30.5054</v>
      </c>
      <c r="N414" s="204">
        <f>K414*M414</f>
        <v>0</v>
      </c>
      <c r="O414" s="231">
        <v>-0.31</v>
      </c>
      <c r="P414" s="228">
        <f>O414*2.54</f>
        <v>-0.7874</v>
      </c>
      <c r="Q414" s="229">
        <f>F414*P414</f>
        <v>-2.20472</v>
      </c>
      <c r="R414" s="228">
        <f>K414*P414</f>
        <v>0</v>
      </c>
      <c r="V414" s="256"/>
    </row>
    <row r="415" spans="1:22" s="257" customFormat="1" ht="16.5" customHeight="1">
      <c r="A415" s="256">
        <v>3</v>
      </c>
      <c r="B415" s="301" t="s">
        <v>630</v>
      </c>
      <c r="C415" s="304" t="s">
        <v>631</v>
      </c>
      <c r="D415" s="219">
        <v>1</v>
      </c>
      <c r="E415" s="226">
        <v>1.2</v>
      </c>
      <c r="F415" s="228">
        <f>E415*D415</f>
        <v>1.2</v>
      </c>
      <c r="G415" s="259">
        <v>10.8</v>
      </c>
      <c r="H415" s="228">
        <f>G415*2.54</f>
        <v>27.432000000000002</v>
      </c>
      <c r="I415" s="229">
        <f>F415*H415</f>
        <v>32.9184</v>
      </c>
      <c r="J415" s="340">
        <v>0</v>
      </c>
      <c r="K415" s="229">
        <f>J415*D415</f>
        <v>0</v>
      </c>
      <c r="L415" s="261">
        <f>G415</f>
        <v>10.8</v>
      </c>
      <c r="M415" s="228">
        <f>L415*2.54</f>
        <v>27.432000000000002</v>
      </c>
      <c r="N415" s="204">
        <f>K415*M415</f>
        <v>0</v>
      </c>
      <c r="O415" s="231">
        <v>-0.81</v>
      </c>
      <c r="P415" s="228">
        <f>O415*2.54</f>
        <v>-2.0574000000000003</v>
      </c>
      <c r="Q415" s="229">
        <f>F415*P415</f>
        <v>-2.4688800000000004</v>
      </c>
      <c r="R415" s="228">
        <f>K415*P415</f>
        <v>0</v>
      </c>
      <c r="V415" s="256"/>
    </row>
    <row r="416" spans="1:22" s="355" customFormat="1" ht="16.5" customHeight="1">
      <c r="A416" s="256">
        <v>3</v>
      </c>
      <c r="B416" s="301" t="s">
        <v>632</v>
      </c>
      <c r="C416" s="258">
        <v>52244</v>
      </c>
      <c r="D416" s="219">
        <v>1</v>
      </c>
      <c r="E416" s="226">
        <v>21.5</v>
      </c>
      <c r="F416" s="228">
        <f>E416*D416</f>
        <v>21.5</v>
      </c>
      <c r="G416" s="259">
        <v>15.33</v>
      </c>
      <c r="H416" s="228">
        <f>G416*2.54</f>
        <v>38.9382</v>
      </c>
      <c r="I416" s="229">
        <f>F416*H416</f>
        <v>837.1713000000001</v>
      </c>
      <c r="J416" s="340">
        <v>0</v>
      </c>
      <c r="K416" s="229">
        <f>J416*D416</f>
        <v>0</v>
      </c>
      <c r="L416" s="261">
        <f>G416</f>
        <v>15.33</v>
      </c>
      <c r="M416" s="228">
        <f>L416*2.54</f>
        <v>38.9382</v>
      </c>
      <c r="N416" s="204">
        <f>K416*M416</f>
        <v>0</v>
      </c>
      <c r="O416" s="231">
        <v>0.38</v>
      </c>
      <c r="P416" s="228">
        <f>O416*2.54</f>
        <v>0.9652000000000001</v>
      </c>
      <c r="Q416" s="229">
        <f>F416*P416</f>
        <v>20.751800000000003</v>
      </c>
      <c r="R416" s="228">
        <f>K416*P416</f>
        <v>0</v>
      </c>
      <c r="V416" s="281"/>
    </row>
    <row r="417" spans="1:18" ht="12.75">
      <c r="A417" s="3"/>
      <c r="B417" s="491"/>
      <c r="C417" s="3"/>
      <c r="D417" s="3"/>
      <c r="E417" s="492"/>
      <c r="F417" s="3"/>
      <c r="G417" s="492"/>
      <c r="H417" s="3"/>
      <c r="I417" s="3"/>
      <c r="J417" s="492"/>
      <c r="K417" s="3"/>
      <c r="L417" s="492"/>
      <c r="M417" s="491"/>
      <c r="N417" s="3"/>
      <c r="O417" s="3"/>
      <c r="P417" s="3"/>
      <c r="Q417" s="3"/>
      <c r="R417" s="3"/>
    </row>
  </sheetData>
  <printOptions gridLines="1" horizontalCentered="1"/>
  <pageMargins left="0.5" right="0.5" top="0.6097222222222223" bottom="0.65" header="0.5118055555555555" footer="0"/>
  <pageSetup fitToHeight="0" fitToWidth="1" horizontalDpi="300" verticalDpi="300" orientation="landscape" scale="52" r:id="rId3"/>
  <headerFooter alignWithMargins="0">
    <oddFooter>&amp;C&amp;F&amp;RPage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8"/>
  <sheetViews>
    <sheetView workbookViewId="0" topLeftCell="A1">
      <selection activeCell="B8" sqref="B8"/>
    </sheetView>
  </sheetViews>
  <sheetFormatPr defaultColWidth="9.140625" defaultRowHeight="12.75"/>
  <cols>
    <col min="1" max="1" width="20.421875" style="0" customWidth="1"/>
    <col min="3" max="3" width="9.28125" style="0" bestFit="1" customWidth="1"/>
  </cols>
  <sheetData>
    <row r="1" spans="1:7" ht="12.75">
      <c r="A1" s="493" t="s">
        <v>633</v>
      </c>
      <c r="B1" s="494" t="s">
        <v>634</v>
      </c>
      <c r="C1" s="495">
        <f>Cal!D1</f>
        <v>147</v>
      </c>
      <c r="E1" t="s">
        <v>635</v>
      </c>
      <c r="F1" s="11"/>
      <c r="G1" s="496"/>
    </row>
    <row r="2" spans="2:5" ht="12.75">
      <c r="B2" s="11" t="s">
        <v>636</v>
      </c>
      <c r="C2" s="496">
        <v>39505</v>
      </c>
      <c r="E2" s="13"/>
    </row>
    <row r="3" spans="2:5" ht="12.75">
      <c r="B3" s="11" t="s">
        <v>637</v>
      </c>
      <c r="C3" s="497" t="s">
        <v>638</v>
      </c>
      <c r="E3" s="13"/>
    </row>
    <row r="4" spans="2:12" ht="12.75">
      <c r="B4" s="11" t="s">
        <v>639</v>
      </c>
      <c r="C4" s="496" t="s">
        <v>640</v>
      </c>
      <c r="E4" s="498"/>
      <c r="I4" s="64"/>
      <c r="J4" s="64"/>
      <c r="K4" s="64"/>
      <c r="L4" s="64"/>
    </row>
    <row r="5" spans="1:5" ht="12.75">
      <c r="A5" s="498"/>
      <c r="B5" s="499"/>
      <c r="C5" s="1"/>
      <c r="E5" s="498"/>
    </row>
    <row r="6" spans="1:18" ht="12.75">
      <c r="A6" s="18"/>
      <c r="B6" s="500" t="s">
        <v>641</v>
      </c>
      <c r="C6" s="500" t="s">
        <v>642</v>
      </c>
      <c r="D6" s="501"/>
      <c r="E6" s="502"/>
      <c r="F6" s="501"/>
      <c r="G6" s="501"/>
      <c r="H6" s="501"/>
      <c r="I6" s="501"/>
      <c r="J6" s="501"/>
      <c r="K6" s="501"/>
      <c r="L6" s="501"/>
      <c r="M6" s="500" t="s">
        <v>642</v>
      </c>
      <c r="R6" s="11"/>
    </row>
    <row r="7" spans="1:18" ht="12.75">
      <c r="A7" s="495" t="s">
        <v>249</v>
      </c>
      <c r="B7" s="1" t="s">
        <v>231</v>
      </c>
      <c r="C7" s="1" t="s">
        <v>643</v>
      </c>
      <c r="M7" s="1" t="s">
        <v>644</v>
      </c>
      <c r="R7" s="11"/>
    </row>
    <row r="8" spans="1:18" ht="12.75">
      <c r="A8" s="11" t="s">
        <v>645</v>
      </c>
      <c r="B8" s="658"/>
      <c r="C8" s="656" t="s">
        <v>646</v>
      </c>
      <c r="D8" s="25" t="s">
        <v>647</v>
      </c>
      <c r="E8" s="25" t="s">
        <v>648</v>
      </c>
      <c r="F8" s="25" t="s">
        <v>649</v>
      </c>
      <c r="G8" s="25" t="s">
        <v>650</v>
      </c>
      <c r="H8" s="25" t="s">
        <v>651</v>
      </c>
      <c r="I8" s="25" t="s">
        <v>652</v>
      </c>
      <c r="J8" s="25" t="s">
        <v>653</v>
      </c>
      <c r="K8" s="25" t="s">
        <v>874</v>
      </c>
      <c r="L8" s="25" t="s">
        <v>875</v>
      </c>
      <c r="M8" s="40"/>
      <c r="R8" s="11"/>
    </row>
    <row r="9" spans="1:13" ht="12.75">
      <c r="A9" s="11" t="s">
        <v>654</v>
      </c>
      <c r="B9" s="657">
        <f>Trim!F64</f>
        <v>1229.9</v>
      </c>
      <c r="C9" s="503">
        <v>246.9</v>
      </c>
      <c r="D9" s="503">
        <v>246.8</v>
      </c>
      <c r="E9" s="503">
        <v>245.8</v>
      </c>
      <c r="F9" s="503">
        <v>245.5</v>
      </c>
      <c r="G9" s="503">
        <v>244.9</v>
      </c>
      <c r="H9" s="503"/>
      <c r="I9" s="503"/>
      <c r="J9" s="503"/>
      <c r="K9" s="503"/>
      <c r="L9" s="503"/>
      <c r="M9" s="504">
        <f>SUM(C9:I9)</f>
        <v>1229.9</v>
      </c>
    </row>
    <row r="10" spans="1:13" ht="12.75">
      <c r="A10" s="11" t="s">
        <v>655</v>
      </c>
      <c r="B10" s="503">
        <v>28.5</v>
      </c>
      <c r="C10" s="503"/>
      <c r="D10" s="503"/>
      <c r="E10" s="503"/>
      <c r="F10" s="503"/>
      <c r="G10" s="503"/>
      <c r="H10" s="503"/>
      <c r="I10" s="503"/>
      <c r="J10" s="503"/>
      <c r="K10" s="503"/>
      <c r="L10" s="503"/>
      <c r="M10" s="504"/>
    </row>
    <row r="11" spans="1:13" ht="12.75">
      <c r="A11" s="11"/>
      <c r="B11" s="503"/>
      <c r="C11" s="503"/>
      <c r="D11" s="504"/>
      <c r="E11" s="503"/>
      <c r="F11" s="503"/>
      <c r="G11" s="503"/>
      <c r="H11" s="503"/>
      <c r="I11" s="503"/>
      <c r="J11" s="503"/>
      <c r="K11" s="503"/>
      <c r="L11" s="503"/>
      <c r="M11" s="504"/>
    </row>
    <row r="12" spans="1:13" ht="12.75">
      <c r="A12" s="505" t="s">
        <v>931</v>
      </c>
      <c r="B12" s="503"/>
      <c r="C12" s="636" t="s">
        <v>903</v>
      </c>
      <c r="D12" s="637"/>
      <c r="E12" s="636"/>
      <c r="F12" s="636"/>
      <c r="G12" s="637" t="s">
        <v>904</v>
      </c>
      <c r="H12" s="636"/>
      <c r="I12" s="636"/>
      <c r="J12" s="545"/>
      <c r="K12" s="545" t="s">
        <v>905</v>
      </c>
      <c r="M12" s="504"/>
    </row>
    <row r="13" spans="1:13" ht="12.75">
      <c r="A13" s="506" t="s">
        <v>656</v>
      </c>
      <c r="B13" s="507">
        <f>Trim!F72</f>
        <v>1422.3</v>
      </c>
      <c r="C13" s="503"/>
      <c r="D13" s="503">
        <v>179.6</v>
      </c>
      <c r="E13" s="503">
        <v>180</v>
      </c>
      <c r="F13" s="503">
        <v>180.2</v>
      </c>
      <c r="G13" s="503">
        <v>182.1</v>
      </c>
      <c r="H13" s="503">
        <v>181.5</v>
      </c>
      <c r="I13" s="503">
        <v>181.5</v>
      </c>
      <c r="J13" s="644">
        <v>156.1</v>
      </c>
      <c r="K13" s="644">
        <v>181.3</v>
      </c>
      <c r="L13" s="508"/>
      <c r="M13" s="504">
        <f>SUM(C13:L13)</f>
        <v>1422.3</v>
      </c>
    </row>
    <row r="14" spans="1:13" ht="12.75">
      <c r="A14" s="11" t="s">
        <v>657</v>
      </c>
      <c r="B14" s="503">
        <f>SUM(C14:L14)</f>
        <v>0</v>
      </c>
      <c r="C14" s="503"/>
      <c r="D14" s="508"/>
      <c r="E14" s="503"/>
      <c r="F14" s="503"/>
      <c r="G14" s="503"/>
      <c r="H14" s="503"/>
      <c r="I14" s="503"/>
      <c r="J14" s="503"/>
      <c r="K14" s="503"/>
      <c r="L14" s="503"/>
      <c r="M14" s="504"/>
    </row>
    <row r="15" spans="1:13" ht="12.75">
      <c r="A15" s="11"/>
      <c r="B15" s="503"/>
      <c r="C15" s="503"/>
      <c r="D15" s="503"/>
      <c r="E15" s="503"/>
      <c r="F15" s="503"/>
      <c r="G15" s="503"/>
      <c r="H15" s="503"/>
      <c r="I15" s="503"/>
      <c r="J15" s="503"/>
      <c r="K15" s="503"/>
      <c r="L15" s="503"/>
      <c r="M15" s="504"/>
    </row>
    <row r="16" spans="1:13" ht="12.75">
      <c r="A16" s="506" t="s">
        <v>658</v>
      </c>
      <c r="B16" s="507">
        <f>Trim!F73</f>
        <v>198.7</v>
      </c>
      <c r="C16" s="503"/>
      <c r="D16" s="503"/>
      <c r="E16" s="503"/>
      <c r="F16" s="503"/>
      <c r="G16" s="503">
        <v>99.5</v>
      </c>
      <c r="H16" s="620">
        <v>99.2</v>
      </c>
      <c r="I16" s="503"/>
      <c r="J16" s="503"/>
      <c r="K16" s="503"/>
      <c r="L16" s="503"/>
      <c r="M16" s="504">
        <f>SUM(C16:L16)</f>
        <v>198.7</v>
      </c>
    </row>
    <row r="17" spans="1:13" ht="12.75">
      <c r="A17" s="11" t="s">
        <v>657</v>
      </c>
      <c r="B17" s="503">
        <f>SUM(C17:L17)</f>
        <v>0</v>
      </c>
      <c r="C17" s="507"/>
      <c r="D17" s="508"/>
      <c r="E17" s="503"/>
      <c r="F17" s="503"/>
      <c r="G17" s="503"/>
      <c r="H17" s="503"/>
      <c r="I17" s="503"/>
      <c r="J17" s="503"/>
      <c r="K17" s="503"/>
      <c r="L17" s="503"/>
      <c r="M17" s="504"/>
    </row>
    <row r="18" spans="1:13" ht="12.75">
      <c r="A18" s="11"/>
      <c r="B18" s="503"/>
      <c r="C18" s="503"/>
      <c r="D18" s="503"/>
      <c r="E18" s="503"/>
      <c r="F18" s="503"/>
      <c r="G18" s="503"/>
      <c r="H18" s="503"/>
      <c r="I18" s="503"/>
      <c r="J18" s="503"/>
      <c r="K18" s="503"/>
      <c r="L18" s="503"/>
      <c r="M18" s="504"/>
    </row>
    <row r="19" spans="1:13" ht="12.75">
      <c r="A19" s="506" t="s">
        <v>659</v>
      </c>
      <c r="B19" s="507">
        <f>Trim!F74</f>
        <v>296.5</v>
      </c>
      <c r="C19" s="503"/>
      <c r="D19" s="503"/>
      <c r="E19" s="503"/>
      <c r="F19" s="620">
        <v>99.1</v>
      </c>
      <c r="G19" s="620">
        <v>99.6</v>
      </c>
      <c r="H19" s="620">
        <v>97.8</v>
      </c>
      <c r="I19" s="503"/>
      <c r="J19" s="503"/>
      <c r="K19" s="503"/>
      <c r="L19" s="503"/>
      <c r="M19" s="504">
        <f>SUM(C19:L19)</f>
        <v>296.5</v>
      </c>
    </row>
    <row r="20" spans="1:13" ht="12.75">
      <c r="A20" s="11" t="s">
        <v>657</v>
      </c>
      <c r="B20" s="503">
        <f>SUM(C20:L20)</f>
        <v>0</v>
      </c>
      <c r="C20" s="503"/>
      <c r="D20" s="508"/>
      <c r="E20" s="503"/>
      <c r="F20" s="503"/>
      <c r="G20" s="503"/>
      <c r="H20" s="503"/>
      <c r="I20" s="503"/>
      <c r="J20" s="503"/>
      <c r="K20" s="503"/>
      <c r="L20" s="503"/>
      <c r="M20" s="504"/>
    </row>
    <row r="21" spans="1:13" ht="12.75">
      <c r="A21" s="11"/>
      <c r="B21" s="503"/>
      <c r="C21" s="503"/>
      <c r="D21" s="503"/>
      <c r="E21" s="503"/>
      <c r="F21" s="503"/>
      <c r="G21" s="503"/>
      <c r="H21" s="503"/>
      <c r="I21" s="503"/>
      <c r="J21" s="503"/>
      <c r="K21" s="503"/>
      <c r="L21" s="503"/>
      <c r="M21" s="504"/>
    </row>
    <row r="22" spans="1:13" ht="12.75">
      <c r="A22" s="506" t="s">
        <v>660</v>
      </c>
      <c r="B22" s="507">
        <f>Trim!F75</f>
        <v>318.2</v>
      </c>
      <c r="C22" s="503"/>
      <c r="D22" s="503"/>
      <c r="E22" s="503"/>
      <c r="F22" s="503">
        <v>92.9</v>
      </c>
      <c r="G22" s="503">
        <v>96.4</v>
      </c>
      <c r="H22" s="503">
        <v>95</v>
      </c>
      <c r="I22" s="620">
        <v>33.9</v>
      </c>
      <c r="J22" s="620"/>
      <c r="K22" s="503"/>
      <c r="L22" s="503"/>
      <c r="M22" s="504">
        <f>SUM(C22:L22)</f>
        <v>318.2</v>
      </c>
    </row>
    <row r="23" spans="1:13" ht="12.75">
      <c r="A23" s="11" t="s">
        <v>657</v>
      </c>
      <c r="B23" s="503">
        <f>SUM(C23:L23)</f>
        <v>0</v>
      </c>
      <c r="C23" s="503"/>
      <c r="D23" s="503"/>
      <c r="E23" s="503"/>
      <c r="F23" s="503"/>
      <c r="G23" s="503"/>
      <c r="H23" s="503"/>
      <c r="I23" s="620"/>
      <c r="J23" s="620"/>
      <c r="K23" s="503"/>
      <c r="L23" s="503"/>
      <c r="M23" s="504"/>
    </row>
    <row r="24" spans="1:13" ht="12.75">
      <c r="A24" s="506" t="s">
        <v>661</v>
      </c>
      <c r="B24" s="503">
        <f>B14+B17+B20+B23</f>
        <v>0</v>
      </c>
      <c r="C24" s="503"/>
      <c r="E24" s="504"/>
      <c r="F24" s="503"/>
      <c r="G24" s="504"/>
      <c r="H24" s="504"/>
      <c r="I24" s="504"/>
      <c r="J24" s="504"/>
      <c r="K24" s="504"/>
      <c r="L24" s="504"/>
      <c r="M24" s="504"/>
    </row>
    <row r="25" spans="1:13" ht="12.75">
      <c r="A25" s="506"/>
      <c r="B25" s="503"/>
      <c r="C25" s="503"/>
      <c r="D25" s="503"/>
      <c r="E25" s="504"/>
      <c r="F25" s="504"/>
      <c r="G25" s="509"/>
      <c r="H25" s="504"/>
      <c r="I25" s="654"/>
      <c r="J25" s="654"/>
      <c r="K25" s="504"/>
      <c r="L25" s="504"/>
      <c r="M25" s="504"/>
    </row>
    <row r="26" spans="1:13" s="651" customFormat="1" ht="25.5">
      <c r="A26" s="647" t="s">
        <v>932</v>
      </c>
      <c r="B26" s="648">
        <f>Trim!F78</f>
        <v>0</v>
      </c>
      <c r="C26" s="649"/>
      <c r="D26" s="649"/>
      <c r="E26" s="650"/>
      <c r="F26" s="650"/>
      <c r="G26" s="650"/>
      <c r="H26" s="652"/>
      <c r="I26" s="655"/>
      <c r="J26" s="655"/>
      <c r="K26" s="653"/>
      <c r="L26" s="650"/>
      <c r="M26" s="650">
        <f>SUM(C26:L26)</f>
        <v>0</v>
      </c>
    </row>
    <row r="27" spans="1:13" ht="12.75">
      <c r="A27" s="11" t="s">
        <v>657</v>
      </c>
      <c r="B27" s="503">
        <f>SUM(C27:H27)</f>
        <v>0</v>
      </c>
      <c r="C27" s="620"/>
      <c r="D27" s="620"/>
      <c r="E27" s="510"/>
      <c r="F27" s="503"/>
      <c r="G27" s="511"/>
      <c r="H27" s="511"/>
      <c r="K27" s="511"/>
      <c r="L27" s="511"/>
      <c r="M27" s="511"/>
    </row>
    <row r="28" spans="2:3" ht="12.75">
      <c r="B28" s="1"/>
      <c r="C28" s="1"/>
    </row>
    <row r="29" spans="2:13" ht="12.75">
      <c r="B29" s="1"/>
      <c r="H29" s="505" t="s">
        <v>662</v>
      </c>
      <c r="I29" s="512"/>
      <c r="J29" s="512"/>
      <c r="K29" s="512"/>
      <c r="L29" s="512"/>
      <c r="M29" s="501"/>
    </row>
    <row r="30" spans="1:4" ht="12.75">
      <c r="A30" s="513" t="s">
        <v>264</v>
      </c>
      <c r="B30" s="20"/>
      <c r="C30" s="20"/>
      <c r="D30" s="18"/>
    </row>
    <row r="31" spans="1:13" ht="12.75">
      <c r="A31" s="506" t="s">
        <v>663</v>
      </c>
      <c r="B31" s="25">
        <f>Trim!F92</f>
        <v>0</v>
      </c>
      <c r="C31" s="25"/>
      <c r="D31" s="25"/>
      <c r="E31" s="40"/>
      <c r="F31" s="40"/>
      <c r="G31" s="40"/>
      <c r="H31" s="40"/>
      <c r="I31" s="40"/>
      <c r="J31" s="40"/>
      <c r="K31" s="514"/>
      <c r="L31" s="514"/>
      <c r="M31" s="504">
        <f>SUM(C31:L31)</f>
        <v>0</v>
      </c>
    </row>
    <row r="32" spans="1:13" ht="12.75">
      <c r="A32" s="11" t="s">
        <v>657</v>
      </c>
      <c r="B32" s="515">
        <v>0</v>
      </c>
      <c r="C32" s="515"/>
      <c r="D32" s="515"/>
      <c r="E32" s="516"/>
      <c r="F32" s="516"/>
      <c r="G32" s="516"/>
      <c r="H32" s="516"/>
      <c r="I32" s="516"/>
      <c r="J32" s="516"/>
      <c r="K32" s="517"/>
      <c r="L32" s="517"/>
      <c r="M32" s="517"/>
    </row>
    <row r="33" spans="2:3" ht="12.75">
      <c r="B33" s="518"/>
      <c r="C33" s="1"/>
    </row>
    <row r="34" spans="1:13" ht="12.75">
      <c r="A34" s="18"/>
      <c r="B34" s="20"/>
      <c r="H34" s="505" t="s">
        <v>664</v>
      </c>
      <c r="I34" s="512"/>
      <c r="J34" s="512"/>
      <c r="K34" s="512"/>
      <c r="L34" s="512"/>
      <c r="M34" s="501"/>
    </row>
    <row r="35" spans="1:5" ht="12.75">
      <c r="A35" s="18"/>
      <c r="B35" s="26"/>
      <c r="C35" s="26"/>
      <c r="D35" s="18"/>
      <c r="E35" s="18"/>
    </row>
    <row r="36" spans="3:13" ht="12.75">
      <c r="C36" s="493" t="s">
        <v>665</v>
      </c>
      <c r="D36" s="1"/>
      <c r="E36" s="1"/>
      <c r="G36" s="513"/>
      <c r="H36" s="519"/>
      <c r="I36" s="520"/>
      <c r="J36" s="521"/>
      <c r="K36" s="521"/>
      <c r="L36" s="521"/>
      <c r="M36" s="522"/>
    </row>
    <row r="37" spans="2:13" ht="12.75">
      <c r="B37" s="1"/>
      <c r="C37" s="1"/>
      <c r="H37" s="519"/>
      <c r="I37" s="523"/>
      <c r="J37" s="523"/>
      <c r="K37" s="523"/>
      <c r="L37" s="523"/>
      <c r="M37" s="524"/>
    </row>
    <row r="38" spans="2:12" ht="12.75">
      <c r="B38" s="1"/>
      <c r="G38" s="505"/>
      <c r="H38" s="18"/>
      <c r="I38" s="18"/>
      <c r="J38" s="18"/>
      <c r="K38" s="18"/>
      <c r="L38" s="18"/>
    </row>
  </sheetData>
  <printOptions/>
  <pageMargins left="0.7479166666666667" right="0.7479166666666667" top="0.9840277777777777" bottom="0.9840277777777777" header="0.5118055555555555" footer="0.5118055555555555"/>
  <pageSetup fitToHeight="1" fitToWidth="1" horizontalDpi="300" verticalDpi="300" orientation="landscape" scale="88" r:id="rId1"/>
  <headerFooter alignWithMargins="0">
    <oddFooter>&amp;C&amp;F&amp;R&amp;P of &amp;N</oddFooter>
  </headerFooter>
</worksheet>
</file>

<file path=xl/worksheets/sheet4.xml><?xml version="1.0" encoding="utf-8"?>
<worksheet xmlns="http://schemas.openxmlformats.org/spreadsheetml/2006/main" xmlns:r="http://schemas.openxmlformats.org/officeDocument/2006/relationships">
  <dimension ref="A1:I44"/>
  <sheetViews>
    <sheetView workbookViewId="0" topLeftCell="A7">
      <selection activeCell="B31" sqref="B31"/>
    </sheetView>
  </sheetViews>
  <sheetFormatPr defaultColWidth="9.140625" defaultRowHeight="12.75"/>
  <cols>
    <col min="1" max="1" width="17.7109375" style="106" customWidth="1"/>
    <col min="2" max="2" width="8.7109375" style="106" customWidth="1"/>
    <col min="3" max="3" width="12.140625" style="106" customWidth="1"/>
    <col min="4" max="4" width="13.28125" style="106" customWidth="1"/>
    <col min="5" max="16384" width="10.8515625" style="106" customWidth="1"/>
  </cols>
  <sheetData>
    <row r="1" spans="1:7" ht="18.75" customHeight="1">
      <c r="A1" s="525" t="s">
        <v>666</v>
      </c>
      <c r="C1" s="366" t="s">
        <v>171</v>
      </c>
      <c r="D1" s="135">
        <f>Cal!D1</f>
        <v>147</v>
      </c>
      <c r="F1" s="526"/>
      <c r="G1" s="527"/>
    </row>
    <row r="2" spans="1:5" ht="17.25" customHeight="1">
      <c r="A2" s="528"/>
      <c r="B2" s="6" t="s">
        <v>2</v>
      </c>
      <c r="C2" s="7">
        <f ca="1">NOW()</f>
        <v>39948.64635497685</v>
      </c>
      <c r="D2" s="6" t="s">
        <v>4</v>
      </c>
      <c r="E2" s="9">
        <f ca="1">NOW()</f>
        <v>39948.64635497685</v>
      </c>
    </row>
    <row r="3" spans="1:5" ht="12.75" customHeight="1">
      <c r="A3" s="528"/>
      <c r="B3" s="6"/>
      <c r="C3" s="7"/>
      <c r="D3" s="6"/>
      <c r="E3" s="9"/>
    </row>
    <row r="4" spans="2:8" ht="12.75" customHeight="1">
      <c r="B4" s="54" t="s">
        <v>667</v>
      </c>
      <c r="C4" s="527"/>
      <c r="D4" s="529" t="s">
        <v>668</v>
      </c>
      <c r="F4" s="530"/>
      <c r="G4" s="527"/>
      <c r="H4" s="531"/>
    </row>
    <row r="5" spans="1:8" ht="12.75" customHeight="1">
      <c r="A5" s="532" t="s">
        <v>669</v>
      </c>
      <c r="B5" s="527">
        <f>1/B6</f>
        <v>-4.076707325027722</v>
      </c>
      <c r="C5" s="527" t="s">
        <v>670</v>
      </c>
      <c r="D5" s="527" t="s">
        <v>671</v>
      </c>
      <c r="E5" s="527" t="s">
        <v>672</v>
      </c>
      <c r="F5" s="530"/>
      <c r="G5" s="527"/>
      <c r="H5" s="531"/>
    </row>
    <row r="6" spans="1:5" ht="12.75" customHeight="1">
      <c r="A6" s="527"/>
      <c r="B6" s="527">
        <v>-0.245296</v>
      </c>
      <c r="C6" s="527" t="s">
        <v>673</v>
      </c>
      <c r="D6" s="527" t="s">
        <v>674</v>
      </c>
      <c r="E6" s="527"/>
    </row>
    <row r="7" ht="12.75" customHeight="1"/>
    <row r="8" s="527" customFormat="1" ht="12.75" customHeight="1">
      <c r="A8" s="533" t="s">
        <v>675</v>
      </c>
    </row>
    <row r="9" spans="1:4" s="527" customFormat="1" ht="12.75" customHeight="1">
      <c r="A9" s="527" t="s">
        <v>676</v>
      </c>
      <c r="B9" s="534">
        <v>19.97</v>
      </c>
      <c r="C9" s="527" t="s">
        <v>677</v>
      </c>
      <c r="D9" t="s">
        <v>924</v>
      </c>
    </row>
    <row r="10" spans="1:4" s="527" customFormat="1" ht="12.75" customHeight="1">
      <c r="A10" s="527" t="s">
        <v>678</v>
      </c>
      <c r="B10" s="534">
        <v>34.58</v>
      </c>
      <c r="C10" s="527" t="s">
        <v>679</v>
      </c>
      <c r="D10" t="s">
        <v>924</v>
      </c>
    </row>
    <row r="11" spans="1:5" s="527" customFormat="1" ht="12.75" customHeight="1">
      <c r="A11" s="527" t="s">
        <v>680</v>
      </c>
      <c r="B11" s="535">
        <f>B10*D11</f>
        <v>33.42354533152909</v>
      </c>
      <c r="C11" s="527" t="s">
        <v>679</v>
      </c>
      <c r="D11" s="527">
        <f>35/36.211</f>
        <v>0.9665571235260004</v>
      </c>
      <c r="E11" s="527" t="s">
        <v>681</v>
      </c>
    </row>
    <row r="12" spans="1:4" s="527" customFormat="1" ht="12.75" customHeight="1">
      <c r="A12" s="527" t="s">
        <v>682</v>
      </c>
      <c r="B12" s="536">
        <v>1.02357</v>
      </c>
      <c r="C12" s="527" t="s">
        <v>683</v>
      </c>
      <c r="D12" s="527" t="s">
        <v>684</v>
      </c>
    </row>
    <row r="13" spans="1:4" s="527" customFormat="1" ht="12.75" customHeight="1">
      <c r="A13" s="527" t="s">
        <v>685</v>
      </c>
      <c r="B13" s="537">
        <v>52154</v>
      </c>
      <c r="C13" s="527" t="s">
        <v>231</v>
      </c>
      <c r="D13" s="527" t="s">
        <v>686</v>
      </c>
    </row>
    <row r="14" spans="1:4" s="527" customFormat="1" ht="12.75" customHeight="1">
      <c r="A14" s="527" t="s">
        <v>687</v>
      </c>
      <c r="B14" s="538">
        <f>B13/B12</f>
        <v>50953.0369198003</v>
      </c>
      <c r="C14" s="527" t="s">
        <v>182</v>
      </c>
      <c r="D14" s="527" t="s">
        <v>688</v>
      </c>
    </row>
    <row r="15" spans="1:4" s="527" customFormat="1" ht="12.75" customHeight="1">
      <c r="A15" s="527" t="s">
        <v>689</v>
      </c>
      <c r="C15" s="537">
        <v>-83</v>
      </c>
      <c r="D15" s="527" t="s">
        <v>182</v>
      </c>
    </row>
    <row r="16" spans="1:4" s="527" customFormat="1" ht="12.75" customHeight="1">
      <c r="A16" s="527" t="s">
        <v>690</v>
      </c>
      <c r="C16" s="537">
        <v>3083</v>
      </c>
      <c r="D16" s="527" t="s">
        <v>691</v>
      </c>
    </row>
    <row r="17" spans="1:4" s="527" customFormat="1" ht="12.75" customHeight="1">
      <c r="A17" s="538" t="s">
        <v>692</v>
      </c>
      <c r="B17" s="11" t="s">
        <v>693</v>
      </c>
      <c r="C17" s="11" t="s">
        <v>694</v>
      </c>
      <c r="D17" s="527" t="s">
        <v>695</v>
      </c>
    </row>
    <row r="18" spans="1:5" s="527" customFormat="1" ht="12.75" customHeight="1">
      <c r="A18" s="527" t="s">
        <v>696</v>
      </c>
      <c r="B18" s="538">
        <f>Cal!C43</f>
        <v>477</v>
      </c>
      <c r="C18" s="538">
        <f>(B18-B19)*B6</f>
        <v>722.241376</v>
      </c>
      <c r="D18" s="538">
        <f>B14+C18</f>
        <v>51675.2782958003</v>
      </c>
      <c r="E18" s="527" t="s">
        <v>697</v>
      </c>
    </row>
    <row r="19" spans="1:5" s="527" customFormat="1" ht="12.75" customHeight="1">
      <c r="A19" s="527" t="s">
        <v>698</v>
      </c>
      <c r="B19" s="538">
        <f>C16+(C15*B5)</f>
        <v>3421.366707977301</v>
      </c>
      <c r="C19" s="11" t="s">
        <v>699</v>
      </c>
      <c r="D19" s="538">
        <f>B14</f>
        <v>50953.0369198003</v>
      </c>
      <c r="E19" s="527" t="s">
        <v>182</v>
      </c>
    </row>
    <row r="20" spans="1:5" s="527" customFormat="1" ht="12.75" customHeight="1">
      <c r="A20" s="527" t="s">
        <v>700</v>
      </c>
      <c r="B20" s="538">
        <f>Cal!C44</f>
        <v>3951</v>
      </c>
      <c r="C20" s="538">
        <f>(B20-B19)*B6</f>
        <v>-129.916928</v>
      </c>
      <c r="D20" s="538">
        <f>B14+C20</f>
        <v>50823.119991800304</v>
      </c>
      <c r="E20" s="527" t="s">
        <v>701</v>
      </c>
    </row>
    <row r="21" spans="1:3" s="527" customFormat="1" ht="12.75" customHeight="1">
      <c r="A21" s="527" t="s">
        <v>702</v>
      </c>
      <c r="C21" s="539">
        <f>C18-C20</f>
        <v>852.1583039999999</v>
      </c>
    </row>
    <row r="22" s="527" customFormat="1" ht="12.75" customHeight="1">
      <c r="C22" s="539"/>
    </row>
    <row r="23" s="527" customFormat="1" ht="12.75" customHeight="1">
      <c r="C23" s="539"/>
    </row>
    <row r="24" spans="1:5" s="527" customFormat="1" ht="12.75" customHeight="1">
      <c r="A24"/>
      <c r="B24"/>
      <c r="C24"/>
      <c r="D24"/>
      <c r="E24"/>
    </row>
    <row r="25" spans="1:9" s="527" customFormat="1" ht="12.75" customHeight="1">
      <c r="A25" s="533" t="s">
        <v>703</v>
      </c>
      <c r="F25"/>
      <c r="G25"/>
      <c r="H25"/>
      <c r="I25"/>
    </row>
    <row r="26" spans="1:9" s="527" customFormat="1" ht="12.75" customHeight="1">
      <c r="A26" s="527" t="s">
        <v>704</v>
      </c>
      <c r="B26" s="537">
        <v>52222</v>
      </c>
      <c r="C26" s="527" t="s">
        <v>177</v>
      </c>
      <c r="D26" s="540" t="s">
        <v>705</v>
      </c>
      <c r="H26"/>
      <c r="I26"/>
    </row>
    <row r="27" spans="1:9" s="527" customFormat="1" ht="12.75" customHeight="1">
      <c r="A27" s="527" t="s">
        <v>706</v>
      </c>
      <c r="B27" s="541">
        <v>51742.3</v>
      </c>
      <c r="C27" s="527" t="s">
        <v>182</v>
      </c>
      <c r="D27" s="576" t="s">
        <v>877</v>
      </c>
      <c r="H27"/>
      <c r="I27"/>
    </row>
    <row r="28" spans="1:9" s="527" customFormat="1" ht="12.75" customHeight="1">
      <c r="A28" s="527" t="s">
        <v>707</v>
      </c>
      <c r="B28" s="538">
        <f>B27-C21</f>
        <v>50890.141696000006</v>
      </c>
      <c r="C28" s="527" t="s">
        <v>182</v>
      </c>
      <c r="D28" s="540"/>
      <c r="H28"/>
      <c r="I28"/>
    </row>
    <row r="29" spans="1:9" s="527" customFormat="1" ht="12.75" customHeight="1">
      <c r="A29" s="527" t="s">
        <v>708</v>
      </c>
      <c r="B29" s="542">
        <v>1.0275</v>
      </c>
      <c r="C29" s="527" t="s">
        <v>709</v>
      </c>
      <c r="H29"/>
      <c r="I29"/>
    </row>
    <row r="30" spans="1:9" s="527" customFormat="1" ht="12.75" customHeight="1">
      <c r="A30" s="527" t="s">
        <v>710</v>
      </c>
      <c r="B30" s="541">
        <v>300</v>
      </c>
      <c r="C30" s="527" t="s">
        <v>182</v>
      </c>
      <c r="H30"/>
      <c r="I30"/>
    </row>
    <row r="31" spans="1:9" s="527" customFormat="1" ht="12.75" customHeight="1">
      <c r="A31" s="527" t="s">
        <v>711</v>
      </c>
      <c r="B31" s="538">
        <f>B28+B30</f>
        <v>51190.141696000006</v>
      </c>
      <c r="C31" s="527" t="s">
        <v>182</v>
      </c>
      <c r="D31" s="527" t="s">
        <v>712</v>
      </c>
      <c r="E31" s="527">
        <v>11.296</v>
      </c>
      <c r="F31" s="527" t="s">
        <v>187</v>
      </c>
      <c r="H31"/>
      <c r="I31"/>
    </row>
    <row r="32" spans="1:7" s="527" customFormat="1" ht="12.75" customHeight="1">
      <c r="A32" s="543" t="s">
        <v>713</v>
      </c>
      <c r="B32" s="544">
        <f>(B29*B31-B26)/(1-(B29/11.296))</f>
        <v>413.4814446571087</v>
      </c>
      <c r="C32" s="527" t="s">
        <v>177</v>
      </c>
      <c r="D32" s="527" t="s">
        <v>714</v>
      </c>
      <c r="E32" s="538">
        <f>B32/E31</f>
        <v>36.60423553975821</v>
      </c>
      <c r="F32" s="527" t="s">
        <v>182</v>
      </c>
      <c r="G32" s="106"/>
    </row>
    <row r="33" spans="1:7" s="527" customFormat="1" ht="12.75" customHeight="1">
      <c r="A33" s="527" t="s">
        <v>715</v>
      </c>
      <c r="B33" s="538">
        <f>B26+B32</f>
        <v>52635.48144465711</v>
      </c>
      <c r="C33" s="527" t="s">
        <v>177</v>
      </c>
      <c r="G33" s="106"/>
    </row>
    <row r="34" spans="1:3" s="527" customFormat="1" ht="12.75" customHeight="1">
      <c r="A34" s="527" t="s">
        <v>716</v>
      </c>
      <c r="B34" s="538">
        <f>B27+B32/E31</f>
        <v>51778.90423553976</v>
      </c>
      <c r="C34" s="527" t="s">
        <v>182</v>
      </c>
    </row>
    <row r="35" s="527" customFormat="1" ht="12.75" customHeight="1"/>
    <row r="36" spans="1:5" s="527" customFormat="1" ht="12.75" customHeight="1">
      <c r="A36" s="54" t="s">
        <v>717</v>
      </c>
      <c r="B36" s="106"/>
      <c r="C36" s="106"/>
      <c r="E36" s="106"/>
    </row>
    <row r="37" spans="1:7" s="527" customFormat="1" ht="12.75" customHeight="1">
      <c r="A37" s="538" t="s">
        <v>692</v>
      </c>
      <c r="B37" s="11" t="s">
        <v>693</v>
      </c>
      <c r="C37" s="11" t="s">
        <v>694</v>
      </c>
      <c r="D37" s="527" t="s">
        <v>695</v>
      </c>
      <c r="F37" s="106"/>
      <c r="G37" s="106"/>
    </row>
    <row r="38" spans="1:5" s="527" customFormat="1" ht="12.75" customHeight="1">
      <c r="A38" s="527" t="s">
        <v>718</v>
      </c>
      <c r="B38" s="538">
        <f>Cal!C43</f>
        <v>477</v>
      </c>
      <c r="C38" s="538">
        <f>(B38-B39)*B6</f>
        <v>552.1583039999999</v>
      </c>
      <c r="D38" s="538">
        <f>D39+C38+E32</f>
        <v>51778.90423553976</v>
      </c>
      <c r="E38" s="527" t="s">
        <v>182</v>
      </c>
    </row>
    <row r="39" spans="1:5" ht="12.75" customHeight="1">
      <c r="A39" s="527" t="s">
        <v>719</v>
      </c>
      <c r="B39" s="538">
        <f>((D39-B28)*B5)+B40</f>
        <v>2727.9878024916834</v>
      </c>
      <c r="C39" s="545">
        <v>0</v>
      </c>
      <c r="D39" s="538">
        <f>B31</f>
        <v>51190.141696000006</v>
      </c>
      <c r="E39" s="527" t="s">
        <v>182</v>
      </c>
    </row>
    <row r="40" spans="1:5" ht="12.75" customHeight="1">
      <c r="A40" s="527" t="s">
        <v>720</v>
      </c>
      <c r="B40" s="538">
        <f>Cal!C44</f>
        <v>3951</v>
      </c>
      <c r="C40" s="538">
        <f>(B40-B39)*B6</f>
        <v>-300</v>
      </c>
      <c r="D40" s="538">
        <f>D38-(C38-C40)</f>
        <v>50926.745931539765</v>
      </c>
      <c r="E40" s="527" t="s">
        <v>182</v>
      </c>
    </row>
    <row r="41" spans="1:3" s="527" customFormat="1" ht="12.75" customHeight="1">
      <c r="A41" s="527" t="s">
        <v>702</v>
      </c>
      <c r="C41" s="539">
        <f>C38-C40</f>
        <v>852.1583039999999</v>
      </c>
    </row>
    <row r="42" spans="1:3" s="527" customFormat="1" ht="12.75" customHeight="1">
      <c r="A42" s="527" t="s">
        <v>721</v>
      </c>
      <c r="B42" s="537">
        <f>total_scale_weight</f>
        <v>52633.600000000006</v>
      </c>
      <c r="C42" s="527" t="s">
        <v>177</v>
      </c>
    </row>
    <row r="43" spans="1:3" s="527" customFormat="1" ht="12.75" customHeight="1">
      <c r="A43" s="527" t="s">
        <v>722</v>
      </c>
      <c r="B43" s="538">
        <f>B42/B29</f>
        <v>51224.91484184915</v>
      </c>
      <c r="C43" s="527" t="s">
        <v>182</v>
      </c>
    </row>
    <row r="44" spans="1:3" s="527" customFormat="1" ht="12.75" customHeight="1">
      <c r="A44" s="527" t="s">
        <v>723</v>
      </c>
      <c r="B44" s="538">
        <f>B39+(B43-D39)*B5</f>
        <v>2586.227864094208</v>
      </c>
      <c r="C44" s="527" t="s">
        <v>691</v>
      </c>
    </row>
    <row r="45" s="527" customFormat="1" ht="12.75"/>
    <row r="46" s="527" customFormat="1" ht="12.75"/>
    <row r="47" s="527" customFormat="1" ht="12.75"/>
    <row r="48" s="527" customFormat="1" ht="12.75"/>
    <row r="49" s="527" customFormat="1" ht="12.75"/>
    <row r="50" s="527" customFormat="1" ht="12.75"/>
    <row r="51" s="527" customFormat="1" ht="12.75"/>
    <row r="52" s="527" customFormat="1" ht="12.75"/>
    <row r="53" s="527" customFormat="1" ht="12.75"/>
    <row r="54" s="527" customFormat="1" ht="12.75"/>
    <row r="55" s="527" customFormat="1" ht="12.75"/>
    <row r="56" s="527" customFormat="1" ht="12.75"/>
    <row r="57" s="527" customFormat="1" ht="12.75"/>
    <row r="58" s="527" customFormat="1" ht="12.75"/>
    <row r="59" s="527" customFormat="1" ht="12.75"/>
    <row r="60" s="527" customFormat="1" ht="12.75"/>
    <row r="61" s="527" customFormat="1" ht="12.75"/>
  </sheetData>
  <printOptions/>
  <pageMargins left="0.7479166666666667" right="0.7479166666666667" top="0.9840277777777777" bottom="0.9840277777777777" header="0.5118055555555555" footer="0.5"/>
  <pageSetup horizontalDpi="300" verticalDpi="300" orientation="portrait" r:id="rId1"/>
  <headerFooter alignWithMargins="0">
    <oddFooter>&amp;C&amp;F&amp;R&amp;P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6"/>
  <sheetViews>
    <sheetView workbookViewId="0" topLeftCell="A1">
      <selection activeCell="A4" sqref="A4:B4"/>
    </sheetView>
  </sheetViews>
  <sheetFormatPr defaultColWidth="9.140625" defaultRowHeight="12.75"/>
  <cols>
    <col min="1" max="1" width="11.421875" style="0" customWidth="1"/>
    <col min="2" max="2" width="91.28125" style="0" customWidth="1"/>
    <col min="3" max="16384" width="11.421875" style="0" customWidth="1"/>
  </cols>
  <sheetData>
    <row r="1" ht="12.75">
      <c r="A1" s="493" t="s">
        <v>724</v>
      </c>
    </row>
    <row r="2" spans="1:2" ht="15.75">
      <c r="A2" s="111" t="s">
        <v>725</v>
      </c>
      <c r="B2" s="135">
        <f>Cal!D1</f>
        <v>147</v>
      </c>
    </row>
    <row r="3" spans="1:2" ht="12.75">
      <c r="A3" t="s">
        <v>726</v>
      </c>
      <c r="B3" t="s">
        <v>727</v>
      </c>
    </row>
    <row r="4" spans="1:2" ht="12.75">
      <c r="A4" s="546">
        <v>39489</v>
      </c>
      <c r="B4" t="s">
        <v>928</v>
      </c>
    </row>
    <row r="6" ht="12.75">
      <c r="A6" s="546"/>
    </row>
  </sheetData>
  <printOptions/>
  <pageMargins left="0.7479166666666667" right="0.7479166666666667" top="0.9840277777777777" bottom="0.9840277777777777" header="0.5118055555555555" footer="0.5"/>
  <pageSetup fitToHeight="2" fitToWidth="1" horizontalDpi="300" verticalDpi="300" orientation="portrait" scale="88" r:id="rId1"/>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23"/>
  <sheetViews>
    <sheetView workbookViewId="0" topLeftCell="A1">
      <selection activeCell="B24" sqref="B24"/>
    </sheetView>
  </sheetViews>
  <sheetFormatPr defaultColWidth="9.140625" defaultRowHeight="12.75"/>
  <cols>
    <col min="1" max="1" width="10.421875" style="662" customWidth="1"/>
    <col min="2" max="2" width="104.57421875" style="0" customWidth="1"/>
    <col min="3" max="16384" width="8.8515625" style="0" customWidth="1"/>
  </cols>
  <sheetData>
    <row r="1" ht="15.75">
      <c r="A1" s="659" t="s">
        <v>728</v>
      </c>
    </row>
    <row r="2" spans="1:2" ht="15.75">
      <c r="A2" s="660" t="s">
        <v>729</v>
      </c>
      <c r="B2" s="135">
        <f>Trim!C2</f>
        <v>147</v>
      </c>
    </row>
    <row r="3" spans="1:2" ht="12.75">
      <c r="A3" s="661" t="s">
        <v>726</v>
      </c>
      <c r="B3" s="493" t="s">
        <v>727</v>
      </c>
    </row>
    <row r="4" spans="1:2" ht="12.75">
      <c r="A4" s="661">
        <v>39491</v>
      </c>
      <c r="B4" t="s">
        <v>927</v>
      </c>
    </row>
    <row r="6" spans="1:2" ht="12.75">
      <c r="A6" s="672">
        <v>39947</v>
      </c>
      <c r="B6" s="673" t="s">
        <v>940</v>
      </c>
    </row>
    <row r="7" spans="1:2" ht="12.75">
      <c r="A7" s="674"/>
      <c r="B7" t="s">
        <v>941</v>
      </c>
    </row>
    <row r="8" ht="12.75">
      <c r="B8" t="s">
        <v>947</v>
      </c>
    </row>
    <row r="9" ht="12.75">
      <c r="B9" t="s">
        <v>948</v>
      </c>
    </row>
    <row r="10" ht="12.75">
      <c r="B10" t="s">
        <v>949</v>
      </c>
    </row>
    <row r="11" ht="12.75">
      <c r="B11" t="s">
        <v>950</v>
      </c>
    </row>
    <row r="12" ht="12.75">
      <c r="B12" t="s">
        <v>951</v>
      </c>
    </row>
    <row r="13" ht="12.75">
      <c r="B13" t="s">
        <v>952</v>
      </c>
    </row>
    <row r="14" ht="12.75">
      <c r="B14" t="s">
        <v>953</v>
      </c>
    </row>
    <row r="15" ht="12.75">
      <c r="B15" t="s">
        <v>942</v>
      </c>
    </row>
    <row r="16" ht="12.75">
      <c r="B16" t="s">
        <v>943</v>
      </c>
    </row>
    <row r="17" ht="12.75">
      <c r="B17" t="s">
        <v>954</v>
      </c>
    </row>
    <row r="18" ht="12.75">
      <c r="B18" t="s">
        <v>944</v>
      </c>
    </row>
    <row r="19" ht="12.75">
      <c r="B19" t="s">
        <v>945</v>
      </c>
    </row>
    <row r="20" ht="12.75">
      <c r="B20" t="s">
        <v>946</v>
      </c>
    </row>
    <row r="21" ht="12.75">
      <c r="B21" t="s">
        <v>955</v>
      </c>
    </row>
    <row r="22" ht="12.75">
      <c r="B22" t="s">
        <v>956</v>
      </c>
    </row>
    <row r="23" ht="12.75">
      <c r="B23" t="s">
        <v>957</v>
      </c>
    </row>
  </sheetData>
  <printOptions/>
  <pageMargins left="0.7479166666666667" right="0.7479166666666667" top="0.9840277777777777" bottom="0.9840277777777777" header="0.5118055555555555" footer="0.5"/>
  <pageSetup fitToHeight="2" fitToWidth="1" horizontalDpi="300" verticalDpi="300" orientation="portrait" scale="85" r:id="rId1"/>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8"/>
  <sheetViews>
    <sheetView workbookViewId="0" topLeftCell="A1">
      <selection activeCell="L13" sqref="L13"/>
    </sheetView>
  </sheetViews>
  <sheetFormatPr defaultColWidth="9.140625" defaultRowHeight="12.75"/>
  <cols>
    <col min="1" max="1" width="15.00390625" style="0" customWidth="1"/>
    <col min="2" max="2" width="14.8515625" style="0" customWidth="1"/>
    <col min="3" max="3" width="13.421875" style="0" customWidth="1"/>
    <col min="4" max="4" width="14.00390625" style="0" customWidth="1"/>
    <col min="5" max="5" width="14.8515625" style="0" customWidth="1"/>
    <col min="6" max="6" width="11.140625" style="0" customWidth="1"/>
    <col min="7" max="8" width="11.421875" style="0" customWidth="1"/>
    <col min="9" max="9" width="14.28125" style="0" customWidth="1"/>
    <col min="10" max="10" width="11.421875" style="0" customWidth="1"/>
    <col min="11" max="11" width="13.28125" style="0" customWidth="1"/>
    <col min="12" max="12" width="14.140625" style="0" customWidth="1"/>
    <col min="13" max="16384" width="11.421875" style="0" customWidth="1"/>
  </cols>
  <sheetData>
    <row r="1" spans="1:4" ht="15.75">
      <c r="A1" s="525" t="s">
        <v>58</v>
      </c>
      <c r="C1" s="6" t="s">
        <v>730</v>
      </c>
      <c r="D1" s="547">
        <v>39478</v>
      </c>
    </row>
    <row r="2" spans="1:2" ht="18">
      <c r="A2" s="366" t="s">
        <v>171</v>
      </c>
      <c r="B2" s="548">
        <f>Cal!D1</f>
        <v>147</v>
      </c>
    </row>
    <row r="3" spans="1:13" ht="12.75">
      <c r="A3" s="543" t="s">
        <v>61</v>
      </c>
      <c r="B3" s="37" t="s">
        <v>731</v>
      </c>
      <c r="C3" s="37" t="s">
        <v>732</v>
      </c>
      <c r="H3" s="493" t="s">
        <v>733</v>
      </c>
      <c r="I3" s="549"/>
      <c r="J3" s="493"/>
      <c r="K3" s="493"/>
      <c r="L3" s="550"/>
      <c r="M3" s="493"/>
    </row>
    <row r="4" spans="1:13" ht="12.75">
      <c r="A4" s="543" t="s">
        <v>62</v>
      </c>
      <c r="B4" s="37" t="s">
        <v>734</v>
      </c>
      <c r="C4" s="37" t="s">
        <v>735</v>
      </c>
      <c r="D4" s="543" t="s">
        <v>736</v>
      </c>
      <c r="E4" s="527"/>
      <c r="F4" s="527"/>
      <c r="H4" s="668" t="s">
        <v>737</v>
      </c>
      <c r="I4" s="668"/>
      <c r="J4" s="527"/>
      <c r="K4" s="527"/>
      <c r="L4" s="527"/>
      <c r="M4" s="527"/>
    </row>
    <row r="5" spans="1:13" ht="12.75">
      <c r="A5" s="493" t="s">
        <v>63</v>
      </c>
      <c r="B5" s="552">
        <v>238767</v>
      </c>
      <c r="C5" s="552" t="s">
        <v>738</v>
      </c>
      <c r="D5" s="668" t="s">
        <v>739</v>
      </c>
      <c r="E5" s="668"/>
      <c r="F5" s="553">
        <v>2.495</v>
      </c>
      <c r="H5" s="671" t="s">
        <v>740</v>
      </c>
      <c r="I5" s="671"/>
      <c r="J5" s="527"/>
      <c r="K5" s="527"/>
      <c r="L5" s="527"/>
      <c r="M5" s="527"/>
    </row>
    <row r="6" spans="1:13" ht="12.75">
      <c r="A6" s="493" t="s">
        <v>64</v>
      </c>
      <c r="B6" s="554">
        <v>39360</v>
      </c>
      <c r="C6" s="554" t="s">
        <v>738</v>
      </c>
      <c r="D6" s="668" t="s">
        <v>741</v>
      </c>
      <c r="E6" s="668"/>
      <c r="F6" s="555">
        <v>1.487135887146E-07</v>
      </c>
      <c r="H6" s="556" t="s">
        <v>742</v>
      </c>
      <c r="I6" s="670" t="s">
        <v>743</v>
      </c>
      <c r="J6" s="670"/>
      <c r="K6" s="670" t="s">
        <v>744</v>
      </c>
      <c r="L6" s="670"/>
      <c r="M6" s="527"/>
    </row>
    <row r="7" spans="1:13" ht="12.75">
      <c r="A7" s="543" t="s">
        <v>65</v>
      </c>
      <c r="B7" s="37">
        <v>128</v>
      </c>
      <c r="C7" s="37">
        <v>64</v>
      </c>
      <c r="D7" s="668" t="s">
        <v>745</v>
      </c>
      <c r="E7" s="668"/>
      <c r="F7" s="527">
        <v>6724335.07014028</v>
      </c>
      <c r="H7" s="556" t="s">
        <v>746</v>
      </c>
      <c r="I7" s="556" t="s">
        <v>747</v>
      </c>
      <c r="J7" s="556" t="s">
        <v>748</v>
      </c>
      <c r="K7" s="556" t="s">
        <v>747</v>
      </c>
      <c r="L7" s="556" t="s">
        <v>748</v>
      </c>
      <c r="M7" s="527"/>
    </row>
    <row r="8" spans="1:13" ht="12.75">
      <c r="A8" s="557" t="s">
        <v>67</v>
      </c>
      <c r="B8" s="37">
        <v>14.7</v>
      </c>
      <c r="C8" s="37" t="s">
        <v>749</v>
      </c>
      <c r="D8" t="s">
        <v>750</v>
      </c>
      <c r="F8" s="538">
        <f>2^24</f>
        <v>16777216</v>
      </c>
      <c r="H8" s="40">
        <v>0</v>
      </c>
      <c r="I8" s="558">
        <v>0.165</v>
      </c>
      <c r="J8" s="558">
        <v>0.182</v>
      </c>
      <c r="K8" s="558">
        <v>0.201</v>
      </c>
      <c r="L8" s="558">
        <v>0.207</v>
      </c>
      <c r="M8" s="527"/>
    </row>
    <row r="9" spans="1:13" ht="12.75">
      <c r="A9" s="543" t="s">
        <v>68</v>
      </c>
      <c r="B9" s="37">
        <v>0</v>
      </c>
      <c r="C9" s="37" t="s">
        <v>751</v>
      </c>
      <c r="D9" s="559" t="s">
        <v>752</v>
      </c>
      <c r="F9" s="560" t="s">
        <v>753</v>
      </c>
      <c r="H9" s="40">
        <v>300</v>
      </c>
      <c r="I9" s="558">
        <v>6.181</v>
      </c>
      <c r="J9" s="558">
        <v>6.194</v>
      </c>
      <c r="K9" s="558">
        <v>6.205</v>
      </c>
      <c r="L9" s="558">
        <v>6.217</v>
      </c>
      <c r="M9" s="527"/>
    </row>
    <row r="10" spans="1:13" ht="12.75">
      <c r="A10" s="668"/>
      <c r="B10" s="668"/>
      <c r="C10" s="527"/>
      <c r="D10" s="527"/>
      <c r="E10" s="527"/>
      <c r="F10" s="527"/>
      <c r="H10" s="40">
        <v>600</v>
      </c>
      <c r="I10" s="558">
        <v>12.207</v>
      </c>
      <c r="J10" s="558">
        <v>12.219</v>
      </c>
      <c r="K10" s="558">
        <v>12.226</v>
      </c>
      <c r="L10" s="558">
        <v>12.242</v>
      </c>
      <c r="M10" s="527"/>
    </row>
    <row r="11" spans="1:13" ht="12.75">
      <c r="A11" s="668"/>
      <c r="B11" s="668"/>
      <c r="C11" s="527"/>
      <c r="D11" s="527"/>
      <c r="E11" s="527"/>
      <c r="F11" s="527"/>
      <c r="H11" s="40">
        <v>900</v>
      </c>
      <c r="I11" s="558">
        <v>18.218</v>
      </c>
      <c r="J11" s="558">
        <v>18.23</v>
      </c>
      <c r="K11" s="558">
        <v>18.238</v>
      </c>
      <c r="L11" s="558">
        <v>18.255</v>
      </c>
      <c r="M11" s="527"/>
    </row>
    <row r="12" spans="1:13" ht="12.75">
      <c r="A12" s="543" t="s">
        <v>754</v>
      </c>
      <c r="B12" s="527"/>
      <c r="C12" s="527"/>
      <c r="D12" s="527"/>
      <c r="E12" s="527"/>
      <c r="F12" s="527"/>
      <c r="H12" s="40">
        <v>1200</v>
      </c>
      <c r="I12" s="558">
        <v>24.203</v>
      </c>
      <c r="J12" s="558">
        <v>24.224</v>
      </c>
      <c r="K12" s="558">
        <v>24.223</v>
      </c>
      <c r="L12" s="558">
        <v>24.227</v>
      </c>
      <c r="M12" s="527"/>
    </row>
    <row r="13" spans="1:13" ht="12.75">
      <c r="A13" s="561" t="s">
        <v>755</v>
      </c>
      <c r="B13" s="561" t="s">
        <v>11</v>
      </c>
      <c r="C13" s="561" t="s">
        <v>756</v>
      </c>
      <c r="D13" s="562" t="s">
        <v>757</v>
      </c>
      <c r="E13" s="527"/>
      <c r="F13" s="527"/>
      <c r="H13" s="40">
        <v>1500</v>
      </c>
      <c r="I13" s="558">
        <v>30.168</v>
      </c>
      <c r="J13" s="558"/>
      <c r="K13" s="558">
        <v>30.186</v>
      </c>
      <c r="L13" s="558"/>
      <c r="M13" s="527"/>
    </row>
    <row r="14" spans="1:13" ht="12.75">
      <c r="A14" s="563" t="s">
        <v>758</v>
      </c>
      <c r="B14" s="563" t="s">
        <v>759</v>
      </c>
      <c r="C14" s="563" t="s">
        <v>760</v>
      </c>
      <c r="D14" s="563"/>
      <c r="E14" s="527"/>
      <c r="F14" s="527"/>
      <c r="H14" s="527"/>
      <c r="I14" s="527"/>
      <c r="J14" s="527"/>
      <c r="K14" s="527"/>
      <c r="L14" s="527"/>
      <c r="M14" s="527"/>
    </row>
    <row r="15" spans="1:13" ht="12.75">
      <c r="A15">
        <v>0</v>
      </c>
      <c r="D15" s="527" t="s">
        <v>761</v>
      </c>
      <c r="H15" s="668" t="s">
        <v>762</v>
      </c>
      <c r="I15" s="668"/>
      <c r="J15" s="668"/>
      <c r="K15" s="668"/>
      <c r="L15" s="668"/>
      <c r="M15" s="668"/>
    </row>
    <row r="16" spans="1:13" ht="12.75">
      <c r="A16">
        <v>100</v>
      </c>
      <c r="D16" s="527"/>
      <c r="H16" s="556" t="s">
        <v>746</v>
      </c>
      <c r="I16" s="556" t="s">
        <v>763</v>
      </c>
      <c r="J16" s="564"/>
      <c r="K16" s="556" t="s">
        <v>763</v>
      </c>
      <c r="L16" s="564"/>
      <c r="M16" s="527"/>
    </row>
    <row r="17" spans="1:13" ht="12.75">
      <c r="A17">
        <v>200</v>
      </c>
      <c r="D17" s="527"/>
      <c r="H17" s="40">
        <v>0</v>
      </c>
      <c r="I17" s="565">
        <f>((I8+J8)/2)/2</f>
        <v>0.08675</v>
      </c>
      <c r="J17" s="40"/>
      <c r="K17" s="565">
        <f>((K8+L8)/2)/2</f>
        <v>0.10200000000000001</v>
      </c>
      <c r="L17" s="564"/>
      <c r="M17" s="527"/>
    </row>
    <row r="18" spans="1:13" ht="12.75">
      <c r="A18" s="551">
        <v>400</v>
      </c>
      <c r="B18" s="527"/>
      <c r="D18" s="527"/>
      <c r="H18" s="40">
        <v>300</v>
      </c>
      <c r="I18" s="565">
        <f>((I9+J9)/2)/2</f>
        <v>3.09375</v>
      </c>
      <c r="J18" s="40"/>
      <c r="K18" s="565">
        <f>((K9+L9)/2)/2</f>
        <v>3.1055</v>
      </c>
      <c r="L18" s="564"/>
      <c r="M18" s="527"/>
    </row>
    <row r="19" spans="1:13" ht="12.75">
      <c r="A19">
        <v>600</v>
      </c>
      <c r="B19" s="527"/>
      <c r="D19" s="527"/>
      <c r="H19" s="40">
        <v>600</v>
      </c>
      <c r="I19" s="565">
        <f>((I10+J10)/2)/2</f>
        <v>6.1065000000000005</v>
      </c>
      <c r="J19" s="40"/>
      <c r="K19" s="565">
        <f>((K10+L10)/2)/2</f>
        <v>6.117000000000001</v>
      </c>
      <c r="L19" s="564"/>
      <c r="M19" s="527"/>
    </row>
    <row r="20" spans="1:13" ht="12.75">
      <c r="A20">
        <v>800</v>
      </c>
      <c r="B20" s="527"/>
      <c r="D20" s="527"/>
      <c r="H20" s="40">
        <v>900</v>
      </c>
      <c r="I20" s="565">
        <f>((I11+J11)/2)/2</f>
        <v>9.112</v>
      </c>
      <c r="J20" s="40"/>
      <c r="K20" s="565">
        <f>((K11+L11)/2)/2</f>
        <v>9.123249999999999</v>
      </c>
      <c r="L20" s="564"/>
      <c r="M20" s="527"/>
    </row>
    <row r="21" spans="1:13" ht="12.75">
      <c r="A21">
        <v>1000</v>
      </c>
      <c r="H21" s="40">
        <v>1200</v>
      </c>
      <c r="I21" s="565">
        <f>((I12+J12)/2)/2</f>
        <v>12.10675</v>
      </c>
      <c r="J21" s="40"/>
      <c r="K21" s="565">
        <f>((K12+L12)/2)/2</f>
        <v>12.1125</v>
      </c>
      <c r="L21" s="564"/>
      <c r="M21" s="527"/>
    </row>
    <row r="22" spans="1:13" ht="12.75">
      <c r="A22">
        <v>1200</v>
      </c>
      <c r="H22" s="40">
        <v>1500</v>
      </c>
      <c r="I22" s="565">
        <f>(I13)/2</f>
        <v>15.084</v>
      </c>
      <c r="J22" s="40"/>
      <c r="K22" s="565">
        <f>(K13)/2</f>
        <v>15.093</v>
      </c>
      <c r="L22" s="564"/>
      <c r="M22" s="527"/>
    </row>
    <row r="23" spans="1:13" ht="12.75">
      <c r="A23">
        <v>1400</v>
      </c>
      <c r="H23" s="527"/>
      <c r="I23" s="527"/>
      <c r="J23" s="527"/>
      <c r="K23" s="527"/>
      <c r="L23" s="527"/>
      <c r="M23" s="527"/>
    </row>
    <row r="24" spans="1:13" ht="12.75">
      <c r="A24">
        <v>1600</v>
      </c>
      <c r="H24" s="527"/>
      <c r="I24" s="527"/>
      <c r="J24" s="527"/>
      <c r="K24" s="527"/>
      <c r="L24" s="527"/>
      <c r="M24" s="527"/>
    </row>
    <row r="25" spans="1:13" ht="12.75">
      <c r="A25">
        <v>1500</v>
      </c>
      <c r="H25" s="493" t="s">
        <v>764</v>
      </c>
      <c r="I25" s="527"/>
      <c r="J25" s="493" t="s">
        <v>765</v>
      </c>
      <c r="K25" s="527"/>
      <c r="L25" s="527"/>
      <c r="M25" s="527"/>
    </row>
    <row r="26" spans="1:13" ht="12.75">
      <c r="A26">
        <v>1400</v>
      </c>
      <c r="H26" s="556" t="s">
        <v>742</v>
      </c>
      <c r="I26" s="556" t="s">
        <v>766</v>
      </c>
      <c r="J26" s="556" t="s">
        <v>742</v>
      </c>
      <c r="K26" s="556" t="s">
        <v>766</v>
      </c>
      <c r="L26" s="527"/>
      <c r="M26" s="527"/>
    </row>
    <row r="27" spans="1:13" ht="12.75">
      <c r="A27">
        <v>1200</v>
      </c>
      <c r="H27" s="556" t="s">
        <v>746</v>
      </c>
      <c r="I27" s="556" t="s">
        <v>767</v>
      </c>
      <c r="J27" s="556" t="s">
        <v>746</v>
      </c>
      <c r="K27" s="556" t="s">
        <v>767</v>
      </c>
      <c r="L27" s="527"/>
      <c r="M27" s="527"/>
    </row>
    <row r="28" spans="1:13" ht="12.75">
      <c r="A28">
        <v>1000</v>
      </c>
      <c r="H28" s="40">
        <v>0</v>
      </c>
      <c r="I28" s="566">
        <f aca="true" t="shared" si="0" ref="I28:I33">(I17*$B$7)*$F$7/1000</f>
        <v>74667.01661883766</v>
      </c>
      <c r="J28" s="40">
        <v>0</v>
      </c>
      <c r="K28" s="566">
        <f aca="true" t="shared" si="1" ref="K28:K33">(K17*$B$7)*$F$7/1000</f>
        <v>87792.9186757515</v>
      </c>
      <c r="L28" s="527"/>
      <c r="M28" s="527"/>
    </row>
    <row r="29" spans="1:13" ht="12.75">
      <c r="A29">
        <v>800</v>
      </c>
      <c r="H29" s="40">
        <v>300</v>
      </c>
      <c r="I29" s="566">
        <f t="shared" si="0"/>
        <v>2662836.687775551</v>
      </c>
      <c r="J29" s="40">
        <v>300</v>
      </c>
      <c r="K29" s="566">
        <f t="shared" si="1"/>
        <v>2672950.0877210423</v>
      </c>
      <c r="L29" s="527"/>
      <c r="M29" s="527"/>
    </row>
    <row r="30" spans="1:13" ht="12.75">
      <c r="A30">
        <v>600</v>
      </c>
      <c r="H30" s="40">
        <v>600</v>
      </c>
      <c r="I30" s="566">
        <f t="shared" si="0"/>
        <v>5255955.469543888</v>
      </c>
      <c r="J30" s="40">
        <v>600</v>
      </c>
      <c r="K30" s="566">
        <f t="shared" si="1"/>
        <v>5264992.975878157</v>
      </c>
      <c r="L30" s="527"/>
      <c r="M30" s="527"/>
    </row>
    <row r="31" spans="1:13" ht="12.75">
      <c r="A31">
        <v>400</v>
      </c>
      <c r="H31" s="40">
        <v>900</v>
      </c>
      <c r="I31" s="566">
        <f t="shared" si="0"/>
        <v>7842834.068367133</v>
      </c>
      <c r="J31" s="40">
        <v>900</v>
      </c>
      <c r="K31" s="566">
        <f t="shared" si="1"/>
        <v>7852517.110868135</v>
      </c>
      <c r="L31" s="527"/>
      <c r="M31" s="527"/>
    </row>
    <row r="32" spans="1:13" ht="12.75">
      <c r="A32">
        <v>200</v>
      </c>
      <c r="H32" s="40">
        <v>1200</v>
      </c>
      <c r="I32" s="566">
        <f t="shared" si="0"/>
        <v>10420459.982133867</v>
      </c>
      <c r="J32" s="40">
        <v>1200</v>
      </c>
      <c r="K32" s="566">
        <f t="shared" si="1"/>
        <v>10425409.09274549</v>
      </c>
      <c r="L32" s="527"/>
      <c r="M32" s="527"/>
    </row>
    <row r="33" spans="1:13" ht="12.75">
      <c r="A33">
        <v>100</v>
      </c>
      <c r="H33" s="40">
        <v>1500</v>
      </c>
      <c r="I33" s="566">
        <f t="shared" si="0"/>
        <v>12983023.385343485</v>
      </c>
      <c r="J33" s="40">
        <v>1500</v>
      </c>
      <c r="K33" s="566">
        <f t="shared" si="1"/>
        <v>12990769.819344288</v>
      </c>
      <c r="L33" s="527"/>
      <c r="M33" s="527"/>
    </row>
    <row r="34" spans="1:13" ht="12.75">
      <c r="A34">
        <v>0</v>
      </c>
      <c r="H34" s="527"/>
      <c r="I34" s="527"/>
      <c r="J34" s="527"/>
      <c r="K34" s="527"/>
      <c r="L34" s="527"/>
      <c r="M34" s="527"/>
    </row>
    <row r="35" spans="8:13" ht="12.75">
      <c r="H35" s="666" t="s">
        <v>768</v>
      </c>
      <c r="I35" s="666"/>
      <c r="J35" s="666"/>
      <c r="K35" s="568"/>
      <c r="L35" s="527"/>
      <c r="M35" s="527"/>
    </row>
    <row r="36" spans="1:13" ht="12.75">
      <c r="A36" s="543" t="s">
        <v>769</v>
      </c>
      <c r="H36" s="667" t="s">
        <v>770</v>
      </c>
      <c r="I36" s="667"/>
      <c r="J36" s="570"/>
      <c r="K36" s="571"/>
      <c r="L36" s="527"/>
      <c r="M36" s="527"/>
    </row>
    <row r="37" spans="1:13" ht="12.75">
      <c r="A37" t="s">
        <v>771</v>
      </c>
      <c r="B37" t="s">
        <v>772</v>
      </c>
      <c r="C37" t="s">
        <v>11</v>
      </c>
      <c r="D37" t="s">
        <v>773</v>
      </c>
      <c r="H37" s="572" t="s">
        <v>764</v>
      </c>
      <c r="I37" s="573"/>
      <c r="J37" s="572" t="s">
        <v>765</v>
      </c>
      <c r="K37" s="574"/>
      <c r="L37" s="527"/>
      <c r="M37" s="527"/>
    </row>
    <row r="38" spans="2:13" ht="12.75">
      <c r="B38">
        <v>0</v>
      </c>
      <c r="C38" s="575" t="e">
        <f>AVERAGE(B15,B34)</f>
        <v>#DIV/0!</v>
      </c>
      <c r="D38" s="576" t="e">
        <f>STDEV(B15,B34)</f>
        <v>#DIV/0!</v>
      </c>
      <c r="H38" s="577" t="s">
        <v>774</v>
      </c>
      <c r="I38" s="578">
        <f>SLOPE(H28:H33,I28:I33)</f>
        <v>0.00011614798142595484</v>
      </c>
      <c r="J38" s="577" t="s">
        <v>774</v>
      </c>
      <c r="K38" s="579">
        <f>SLOPE(J28:J33,K28:K33)</f>
        <v>0.00011620169798269861</v>
      </c>
      <c r="L38" s="527"/>
      <c r="M38" s="527"/>
    </row>
    <row r="39" spans="2:13" ht="12.75">
      <c r="B39">
        <v>100</v>
      </c>
      <c r="C39" s="575" t="e">
        <f>AVERAGE(B16,B33)</f>
        <v>#DIV/0!</v>
      </c>
      <c r="D39" s="576" t="e">
        <f>STDEV(B16,B33)</f>
        <v>#DIV/0!</v>
      </c>
      <c r="H39" s="580" t="s">
        <v>775</v>
      </c>
      <c r="I39" s="581">
        <f>INTERCEPT(H28:H33,I28:I33)</f>
        <v>-9.603474138610977</v>
      </c>
      <c r="J39" s="580" t="s">
        <v>775</v>
      </c>
      <c r="K39" s="582">
        <f>INTERCEPT(J28:J33,K28:K33)</f>
        <v>-11.013286712292484</v>
      </c>
      <c r="L39" s="527"/>
      <c r="M39" s="527"/>
    </row>
    <row r="40" spans="2:13" ht="12.75">
      <c r="B40">
        <v>200</v>
      </c>
      <c r="C40" s="575" t="e">
        <f>AVERAGE(B17,B32)</f>
        <v>#DIV/0!</v>
      </c>
      <c r="D40" s="576" t="e">
        <f>STDEV(B17,B32)</f>
        <v>#DIV/0!</v>
      </c>
      <c r="H40" s="583"/>
      <c r="I40" s="584"/>
      <c r="J40" s="583"/>
      <c r="K40" s="584"/>
      <c r="L40" s="527"/>
      <c r="M40" s="527"/>
    </row>
    <row r="41" spans="2:13" ht="12.75">
      <c r="B41">
        <v>400</v>
      </c>
      <c r="C41" s="575" t="e">
        <f>AVERAGE(B18,B31)</f>
        <v>#DIV/0!</v>
      </c>
      <c r="D41" s="576" t="e">
        <f>STDEV(B18,B31)</f>
        <v>#DIV/0!</v>
      </c>
      <c r="H41" s="527"/>
      <c r="I41" s="527"/>
      <c r="J41" s="527"/>
      <c r="K41" s="527"/>
      <c r="L41" s="527"/>
      <c r="M41" s="527"/>
    </row>
    <row r="42" spans="2:13" ht="12.75">
      <c r="B42">
        <v>600</v>
      </c>
      <c r="C42" s="575" t="e">
        <f>AVERAGE(B19,B30)</f>
        <v>#DIV/0!</v>
      </c>
      <c r="D42" s="576" t="e">
        <f>STDEV(B19,B30)</f>
        <v>#DIV/0!</v>
      </c>
      <c r="H42" s="669" t="s">
        <v>776</v>
      </c>
      <c r="I42" s="669"/>
      <c r="J42" s="527"/>
      <c r="K42" s="669" t="s">
        <v>777</v>
      </c>
      <c r="L42" s="669"/>
      <c r="M42" s="527"/>
    </row>
    <row r="43" spans="2:13" ht="12.75">
      <c r="B43">
        <v>800</v>
      </c>
      <c r="C43" s="575" t="e">
        <f>AVERAGE(B20,B29)</f>
        <v>#DIV/0!</v>
      </c>
      <c r="D43" s="576" t="e">
        <f>STDEV(B20,B29)</f>
        <v>#DIV/0!</v>
      </c>
      <c r="H43" s="49" t="s">
        <v>642</v>
      </c>
      <c r="I43" s="49" t="s">
        <v>778</v>
      </c>
      <c r="J43" s="49" t="s">
        <v>779</v>
      </c>
      <c r="K43" s="49" t="s">
        <v>642</v>
      </c>
      <c r="L43" s="49" t="s">
        <v>778</v>
      </c>
      <c r="M43" s="49" t="s">
        <v>779</v>
      </c>
    </row>
    <row r="44" spans="2:13" ht="12.75">
      <c r="B44">
        <v>1000</v>
      </c>
      <c r="C44" s="575" t="e">
        <f>AVERAGE(B21,B28)</f>
        <v>#DIV/0!</v>
      </c>
      <c r="D44" s="576" t="e">
        <f>STDEV(B21,B28)</f>
        <v>#DIV/0!</v>
      </c>
      <c r="H44" s="49" t="s">
        <v>746</v>
      </c>
      <c r="I44" s="49" t="s">
        <v>746</v>
      </c>
      <c r="J44" s="49"/>
      <c r="K44" s="49" t="s">
        <v>746</v>
      </c>
      <c r="L44" s="49" t="s">
        <v>746</v>
      </c>
      <c r="M44" s="49"/>
    </row>
    <row r="45" spans="2:13" ht="12.75">
      <c r="B45">
        <v>1200</v>
      </c>
      <c r="C45" s="575" t="e">
        <f>AVERAGE(B22,B27)</f>
        <v>#DIV/0!</v>
      </c>
      <c r="D45" s="576" t="e">
        <f>STDEV(B22,B27)</f>
        <v>#DIV/0!</v>
      </c>
      <c r="H45" s="564">
        <v>0</v>
      </c>
      <c r="I45" s="586">
        <f aca="true" t="shared" si="2" ref="I45:I50">I28*$I$38+$I$39</f>
        <v>-0.9310508792347587</v>
      </c>
      <c r="J45" s="587"/>
      <c r="K45" s="564">
        <v>0</v>
      </c>
      <c r="L45" s="586">
        <f aca="true" t="shared" si="3" ref="L45:L50">K28*$K$38+$K$39</f>
        <v>-0.8116004913131878</v>
      </c>
      <c r="M45" s="587"/>
    </row>
    <row r="46" spans="2:13" ht="12.75">
      <c r="B46">
        <v>1400</v>
      </c>
      <c r="C46" s="575" t="e">
        <f>AVERAGE(B23,B26)</f>
        <v>#DIV/0!</v>
      </c>
      <c r="D46" s="576" t="e">
        <f>STDEV(B23,B26)</f>
        <v>#DIV/0!</v>
      </c>
      <c r="H46" s="564">
        <v>300</v>
      </c>
      <c r="I46" s="586">
        <f t="shared" si="2"/>
        <v>299.6796320134948</v>
      </c>
      <c r="J46" s="588">
        <f>(H46-I46)/H46</f>
        <v>0.0010678932883505846</v>
      </c>
      <c r="K46" s="564">
        <v>300</v>
      </c>
      <c r="L46" s="586">
        <f t="shared" si="3"/>
        <v>299.58805210389585</v>
      </c>
      <c r="M46" s="588">
        <f>(K46-L46)/K46</f>
        <v>0.0013731596536805076</v>
      </c>
    </row>
    <row r="47" spans="2:13" ht="12.75">
      <c r="B47">
        <v>1500</v>
      </c>
      <c r="C47" s="575" t="e">
        <f>AVERAGE(B25)</f>
        <v>#DIV/0!</v>
      </c>
      <c r="H47" s="564">
        <v>600</v>
      </c>
      <c r="I47" s="586">
        <f t="shared" si="2"/>
        <v>600.8651441136183</v>
      </c>
      <c r="J47" s="588">
        <f>(H47-I47)/H47</f>
        <v>-0.001441906856030452</v>
      </c>
      <c r="K47" s="564">
        <v>600</v>
      </c>
      <c r="L47" s="586">
        <f t="shared" si="3"/>
        <v>600.7878369517307</v>
      </c>
      <c r="M47" s="588">
        <f>(K47-L47)/K47</f>
        <v>-0.0013130615862178275</v>
      </c>
    </row>
    <row r="48" spans="8:13" ht="12.75">
      <c r="H48" s="564">
        <v>900</v>
      </c>
      <c r="I48" s="586">
        <f t="shared" si="2"/>
        <v>901.3258715609406</v>
      </c>
      <c r="J48" s="588">
        <f>(H48-I48)/H48</f>
        <v>-0.0014731906232673788</v>
      </c>
      <c r="K48" s="564">
        <v>900</v>
      </c>
      <c r="L48" s="586">
        <f t="shared" si="3"/>
        <v>901.4625350087796</v>
      </c>
      <c r="M48" s="588">
        <f>(K48-L48)/K48</f>
        <v>-0.0016250388986439803</v>
      </c>
    </row>
    <row r="49" spans="1:13" ht="12.75">
      <c r="A49" s="543" t="s">
        <v>774</v>
      </c>
      <c r="B49" s="589" t="e">
        <f>SLOPE(B38:B46,C38:C46)</f>
        <v>#DIV/0!</v>
      </c>
      <c r="H49" s="564">
        <v>1200</v>
      </c>
      <c r="I49" s="586">
        <f t="shared" si="2"/>
        <v>1200.711918316179</v>
      </c>
      <c r="J49" s="588">
        <f>(H49-I49)/H49</f>
        <v>-0.0005932652634824838</v>
      </c>
      <c r="K49" s="564">
        <v>1200</v>
      </c>
      <c r="L49" s="586">
        <f t="shared" si="3"/>
        <v>1200.4369520289988</v>
      </c>
      <c r="M49" s="588">
        <f>(K49-L49)/K49</f>
        <v>-0.00036412669083233593</v>
      </c>
    </row>
    <row r="50" spans="1:13" ht="12.75">
      <c r="A50" t="s">
        <v>780</v>
      </c>
      <c r="B50" s="575" t="e">
        <f>INTERCEPT(B38:B46,C38:C46)</f>
        <v>#DIV/0!</v>
      </c>
      <c r="H50" s="564">
        <v>1500</v>
      </c>
      <c r="I50" s="586">
        <f t="shared" si="2"/>
        <v>1498.3484848750013</v>
      </c>
      <c r="J50" s="588">
        <f>(H50-I50)/H50</f>
        <v>0.0011010100833324637</v>
      </c>
      <c r="K50" s="564">
        <v>1500</v>
      </c>
      <c r="L50" s="586">
        <f t="shared" si="3"/>
        <v>1498.5362243979087</v>
      </c>
      <c r="M50" s="588">
        <f>(K50-L50)/K50</f>
        <v>0.0009758504013942305</v>
      </c>
    </row>
    <row r="51" spans="1:13" ht="12.75">
      <c r="A51" s="543" t="s">
        <v>781</v>
      </c>
      <c r="B51" s="575" t="e">
        <f>B50-B8</f>
        <v>#DIV/0!</v>
      </c>
      <c r="H51" s="527"/>
      <c r="I51" s="527"/>
      <c r="J51" s="527"/>
      <c r="K51" s="527"/>
      <c r="L51" s="527"/>
      <c r="M51" s="527"/>
    </row>
    <row r="52" spans="8:13" ht="12.75">
      <c r="H52" s="665" t="s">
        <v>782</v>
      </c>
      <c r="I52" s="665"/>
      <c r="J52" s="665"/>
      <c r="K52" s="665"/>
      <c r="L52" s="590"/>
      <c r="M52" s="527"/>
    </row>
    <row r="53" spans="8:13" ht="12.75">
      <c r="H53" s="666" t="s">
        <v>783</v>
      </c>
      <c r="I53" s="666"/>
      <c r="J53" s="666"/>
      <c r="K53" s="591"/>
      <c r="L53" s="568"/>
      <c r="M53" s="527"/>
    </row>
    <row r="54" spans="8:13" ht="12.75">
      <c r="H54" s="667" t="s">
        <v>784</v>
      </c>
      <c r="I54" s="667"/>
      <c r="J54" s="592"/>
      <c r="K54" s="593"/>
      <c r="L54" s="594"/>
      <c r="M54" s="527"/>
    </row>
    <row r="55" spans="8:13" ht="12.75">
      <c r="H55" s="572" t="s">
        <v>764</v>
      </c>
      <c r="I55" s="595"/>
      <c r="J55" s="570"/>
      <c r="K55" s="572" t="s">
        <v>765</v>
      </c>
      <c r="L55" s="574"/>
      <c r="M55" s="527"/>
    </row>
    <row r="56" spans="8:13" ht="12.75">
      <c r="H56" s="596" t="s">
        <v>774</v>
      </c>
      <c r="I56" s="597">
        <f>I38</f>
        <v>0.00011614798142595484</v>
      </c>
      <c r="J56" s="598"/>
      <c r="K56" s="567" t="s">
        <v>774</v>
      </c>
      <c r="L56" s="599">
        <f>K38</f>
        <v>0.00011620169798269861</v>
      </c>
      <c r="M56" s="527"/>
    </row>
    <row r="57" spans="8:13" ht="12.75">
      <c r="H57" s="596" t="s">
        <v>775</v>
      </c>
      <c r="I57" s="597">
        <f>I39-B8</f>
        <v>-24.303474138610976</v>
      </c>
      <c r="J57" s="598"/>
      <c r="K57" s="596" t="s">
        <v>775</v>
      </c>
      <c r="L57" s="597">
        <f>L39-B8</f>
        <v>-14.7</v>
      </c>
      <c r="M57" s="527"/>
    </row>
    <row r="58" spans="8:13" ht="12.75">
      <c r="H58" s="569" t="s">
        <v>74</v>
      </c>
      <c r="I58" s="600">
        <f>I57*0.685</f>
        <v>-16.647879784948522</v>
      </c>
      <c r="J58" s="592"/>
      <c r="K58" s="569" t="s">
        <v>74</v>
      </c>
      <c r="L58" s="600">
        <f>L57*0.685</f>
        <v>-10.0695</v>
      </c>
      <c r="M58" s="527"/>
    </row>
  </sheetData>
  <mergeCells count="17">
    <mergeCell ref="H4:I4"/>
    <mergeCell ref="D5:E5"/>
    <mergeCell ref="H5:I5"/>
    <mergeCell ref="D6:E6"/>
    <mergeCell ref="I6:J6"/>
    <mergeCell ref="K6:L6"/>
    <mergeCell ref="D7:E7"/>
    <mergeCell ref="A10:B10"/>
    <mergeCell ref="A11:B11"/>
    <mergeCell ref="H52:K52"/>
    <mergeCell ref="H53:J53"/>
    <mergeCell ref="H54:I54"/>
    <mergeCell ref="H15:M15"/>
    <mergeCell ref="H35:J35"/>
    <mergeCell ref="H36:I36"/>
    <mergeCell ref="H42:I42"/>
    <mergeCell ref="K42:L42"/>
  </mergeCells>
  <printOptions/>
  <pageMargins left="0.7479166666666667" right="0.7479166666666667" top="0.9840277777777777" bottom="0.9840277777777777" header="0.5118055555555555" footer="0.5"/>
  <pageSetup fitToHeight="1" fitToWidth="1" horizontalDpi="300" verticalDpi="300" orientation="landscape" scale="64" r:id="rId1"/>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dimension ref="A1:B44"/>
  <sheetViews>
    <sheetView workbookViewId="0" topLeftCell="A1">
      <selection activeCell="B29" sqref="B29"/>
    </sheetView>
  </sheetViews>
  <sheetFormatPr defaultColWidth="9.140625" defaultRowHeight="12.75"/>
  <cols>
    <col min="1" max="1" width="31.421875" style="0" customWidth="1"/>
    <col min="2" max="2" width="12.7109375" style="0" customWidth="1"/>
    <col min="3" max="16384" width="8.8515625" style="0" customWidth="1"/>
  </cols>
  <sheetData>
    <row r="1" spans="1:2" ht="15.75">
      <c r="A1" s="601" t="s">
        <v>785</v>
      </c>
      <c r="B1" s="20"/>
    </row>
    <row r="2" ht="12.75">
      <c r="B2" s="20"/>
    </row>
    <row r="3" spans="1:2" ht="12.75">
      <c r="A3" s="585" t="s">
        <v>786</v>
      </c>
      <c r="B3" s="602">
        <v>147</v>
      </c>
    </row>
    <row r="4" spans="1:2" ht="12.75">
      <c r="A4" t="s">
        <v>787</v>
      </c>
      <c r="B4" s="603">
        <v>45</v>
      </c>
    </row>
    <row r="5" spans="1:2" ht="12.75">
      <c r="A5" t="s">
        <v>788</v>
      </c>
      <c r="B5" s="603">
        <v>16</v>
      </c>
    </row>
    <row r="6" spans="1:2" ht="12.75">
      <c r="A6" t="s">
        <v>789</v>
      </c>
      <c r="B6" s="603">
        <v>11</v>
      </c>
    </row>
    <row r="7" spans="1:2" ht="12.75">
      <c r="A7" t="s">
        <v>790</v>
      </c>
      <c r="B7" s="603">
        <v>23</v>
      </c>
    </row>
    <row r="8" ht="12.75">
      <c r="B8" s="603"/>
    </row>
    <row r="9" spans="1:2" ht="12.75">
      <c r="A9" s="585" t="s">
        <v>791</v>
      </c>
      <c r="B9" s="602"/>
    </row>
    <row r="10" spans="1:2" ht="12.75">
      <c r="A10" t="s">
        <v>787</v>
      </c>
      <c r="B10" s="603">
        <v>15</v>
      </c>
    </row>
    <row r="11" spans="1:2" ht="12.75">
      <c r="A11" t="s">
        <v>788</v>
      </c>
      <c r="B11" s="603">
        <v>23</v>
      </c>
    </row>
    <row r="12" spans="1:2" ht="12.75" customHeight="1">
      <c r="A12" t="s">
        <v>789</v>
      </c>
      <c r="B12" s="603">
        <v>23</v>
      </c>
    </row>
    <row r="13" spans="1:2" ht="12.75" customHeight="1">
      <c r="A13" s="604" t="s">
        <v>792</v>
      </c>
      <c r="B13" s="603">
        <v>490</v>
      </c>
    </row>
    <row r="14" ht="12.75">
      <c r="B14" s="603"/>
    </row>
    <row r="15" spans="1:2" ht="12.75">
      <c r="A15" s="585" t="s">
        <v>793</v>
      </c>
      <c r="B15" s="602"/>
    </row>
    <row r="16" spans="1:2" ht="12.75">
      <c r="A16" t="s">
        <v>787</v>
      </c>
      <c r="B16" s="603">
        <v>23</v>
      </c>
    </row>
    <row r="17" spans="1:2" ht="12.75">
      <c r="A17" t="s">
        <v>788</v>
      </c>
      <c r="B17" s="603">
        <v>19</v>
      </c>
    </row>
    <row r="18" spans="1:2" ht="12.75">
      <c r="A18" t="s">
        <v>789</v>
      </c>
      <c r="B18" s="603">
        <v>14</v>
      </c>
    </row>
    <row r="19" spans="1:2" ht="12.75">
      <c r="A19" t="s">
        <v>794</v>
      </c>
      <c r="B19" s="603"/>
    </row>
    <row r="20" spans="1:2" ht="12.75">
      <c r="A20" t="s">
        <v>933</v>
      </c>
      <c r="B20" s="605"/>
    </row>
    <row r="21" spans="1:2" ht="12.75">
      <c r="A21" s="618" t="s">
        <v>934</v>
      </c>
      <c r="B21" s="603"/>
    </row>
    <row r="22" spans="1:2" ht="12.75">
      <c r="A22" s="618" t="s">
        <v>937</v>
      </c>
      <c r="B22" s="603">
        <v>15</v>
      </c>
    </row>
    <row r="23" spans="1:2" ht="12.75">
      <c r="A23" s="618" t="s">
        <v>938</v>
      </c>
      <c r="B23" s="603">
        <v>58</v>
      </c>
    </row>
    <row r="24" spans="1:2" ht="12.75">
      <c r="A24" s="618" t="s">
        <v>936</v>
      </c>
      <c r="B24" s="603">
        <v>177</v>
      </c>
    </row>
    <row r="25" spans="1:2" ht="12.75">
      <c r="A25" s="618" t="s">
        <v>935</v>
      </c>
      <c r="B25" s="603"/>
    </row>
    <row r="26" spans="1:2" ht="12.75">
      <c r="A26" s="618" t="s">
        <v>937</v>
      </c>
      <c r="B26" s="603">
        <v>20.8</v>
      </c>
    </row>
    <row r="27" spans="1:2" ht="12.75">
      <c r="A27" s="618" t="s">
        <v>938</v>
      </c>
      <c r="B27" s="603">
        <v>188</v>
      </c>
    </row>
    <row r="28" spans="1:2" ht="12.75">
      <c r="A28" s="618" t="s">
        <v>936</v>
      </c>
      <c r="B28" s="603">
        <v>250</v>
      </c>
    </row>
    <row r="29" ht="12.75">
      <c r="B29" s="603"/>
    </row>
    <row r="30" spans="1:2" ht="12.75">
      <c r="A30" s="606" t="s">
        <v>795</v>
      </c>
      <c r="B30" s="602"/>
    </row>
    <row r="31" spans="1:2" ht="12.75">
      <c r="A31" t="s">
        <v>787</v>
      </c>
      <c r="B31" s="603">
        <v>15</v>
      </c>
    </row>
    <row r="32" spans="1:2" ht="12.75">
      <c r="A32" t="s">
        <v>788</v>
      </c>
      <c r="B32" s="603">
        <v>25</v>
      </c>
    </row>
    <row r="33" spans="1:2" ht="12.75">
      <c r="A33" t="s">
        <v>789</v>
      </c>
      <c r="B33" s="603">
        <v>15</v>
      </c>
    </row>
    <row r="34" spans="1:2" ht="12.75">
      <c r="A34" t="s">
        <v>796</v>
      </c>
      <c r="B34" s="603">
        <v>22</v>
      </c>
    </row>
    <row r="35" ht="12.75">
      <c r="B35" s="605"/>
    </row>
    <row r="36" spans="1:2" ht="12.75">
      <c r="A36" s="11"/>
      <c r="B36" s="603"/>
    </row>
    <row r="37" spans="1:2" ht="12.75">
      <c r="A37" s="11"/>
      <c r="B37" s="603"/>
    </row>
    <row r="38" spans="1:2" ht="12.75">
      <c r="A38" s="11"/>
      <c r="B38" s="603"/>
    </row>
    <row r="39" spans="1:2" ht="12.75">
      <c r="A39" s="11"/>
      <c r="B39" s="603"/>
    </row>
    <row r="40" ht="12.75">
      <c r="B40" s="605"/>
    </row>
    <row r="41" spans="1:2" ht="12.75">
      <c r="A41" s="11"/>
      <c r="B41" s="603"/>
    </row>
    <row r="42" spans="1:2" ht="12.75">
      <c r="A42" s="11"/>
      <c r="B42" s="603"/>
    </row>
    <row r="43" spans="1:2" ht="12.75">
      <c r="A43" s="11"/>
      <c r="B43" s="603"/>
    </row>
    <row r="44" spans="1:2" ht="12.75">
      <c r="A44" s="11"/>
      <c r="B44" s="603"/>
    </row>
  </sheetData>
  <printOptions/>
  <pageMargins left="0.7479166666666667" right="0.7479166666666667" top="0.9840277777777777" bottom="0.9840277777777777" header="0.5118055555555555" footer="0.5118055555555555"/>
  <pageSetup horizontalDpi="300" verticalDpi="300" orientation="portrait" r:id="rId1"/>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dimension ref="A1:D19"/>
  <sheetViews>
    <sheetView workbookViewId="0" topLeftCell="A1">
      <selection activeCell="D8" sqref="D8"/>
    </sheetView>
  </sheetViews>
  <sheetFormatPr defaultColWidth="9.140625" defaultRowHeight="12.75"/>
  <cols>
    <col min="1" max="1" width="25.7109375" style="29" customWidth="1"/>
    <col min="2" max="2" width="12.140625" style="29" customWidth="1"/>
    <col min="3" max="16384" width="9.140625" style="559" customWidth="1"/>
  </cols>
  <sheetData>
    <row r="1" spans="1:3" s="610" customFormat="1" ht="18">
      <c r="A1" s="607" t="s">
        <v>797</v>
      </c>
      <c r="B1" s="608" t="s">
        <v>171</v>
      </c>
      <c r="C1" s="609">
        <f>Cal!D1</f>
        <v>147</v>
      </c>
    </row>
    <row r="2" spans="1:4" ht="15.75">
      <c r="A2" s="6" t="s">
        <v>2</v>
      </c>
      <c r="B2" s="7">
        <f ca="1">NOW()</f>
        <v>39948.64635497685</v>
      </c>
      <c r="C2" s="6" t="s">
        <v>4</v>
      </c>
      <c r="D2" s="9">
        <f ca="1">NOW()</f>
        <v>39948.64635497685</v>
      </c>
    </row>
    <row r="3" spans="1:4" ht="12.75">
      <c r="A3" s="153" t="s">
        <v>798</v>
      </c>
      <c r="B3" s="611">
        <v>2.713</v>
      </c>
      <c r="C3" s="527" t="s">
        <v>187</v>
      </c>
      <c r="D3" s="527"/>
    </row>
    <row r="4" spans="1:4" ht="12.75">
      <c r="A4" s="153" t="s">
        <v>799</v>
      </c>
      <c r="B4" s="611">
        <v>11.296</v>
      </c>
      <c r="C4" s="527" t="s">
        <v>187</v>
      </c>
      <c r="D4" s="527"/>
    </row>
    <row r="5" spans="1:4" ht="12.75">
      <c r="A5" s="153" t="s">
        <v>800</v>
      </c>
      <c r="B5" s="611">
        <v>8.415</v>
      </c>
      <c r="C5" s="527" t="s">
        <v>187</v>
      </c>
      <c r="D5" s="527"/>
    </row>
    <row r="6" spans="1:4" ht="12.75">
      <c r="A6" s="153" t="s">
        <v>801</v>
      </c>
      <c r="B6" s="611">
        <v>8.027</v>
      </c>
      <c r="C6" s="527" t="s">
        <v>187</v>
      </c>
      <c r="D6" s="527"/>
    </row>
    <row r="7" spans="1:4" ht="12.75">
      <c r="A7" s="153" t="s">
        <v>802</v>
      </c>
      <c r="B7" s="611">
        <v>0.9</v>
      </c>
      <c r="C7" s="527" t="s">
        <v>187</v>
      </c>
      <c r="D7" s="527"/>
    </row>
    <row r="8" spans="1:4" ht="12.75">
      <c r="A8" s="153" t="s">
        <v>803</v>
      </c>
      <c r="B8" s="611">
        <v>1.3969015961629014</v>
      </c>
      <c r="C8" s="527" t="s">
        <v>187</v>
      </c>
      <c r="D8" s="537" t="s">
        <v>929</v>
      </c>
    </row>
    <row r="9" spans="1:4" ht="12.75">
      <c r="A9" s="153" t="s">
        <v>804</v>
      </c>
      <c r="B9" s="611">
        <v>7.1</v>
      </c>
      <c r="C9" s="527" t="s">
        <v>187</v>
      </c>
      <c r="D9" s="527"/>
    </row>
    <row r="10" spans="1:4" ht="12.75">
      <c r="A10" s="153" t="s">
        <v>805</v>
      </c>
      <c r="B10" s="611">
        <v>1.41</v>
      </c>
      <c r="C10" s="527" t="s">
        <v>187</v>
      </c>
      <c r="D10" s="527"/>
    </row>
    <row r="11" spans="1:4" ht="12.75">
      <c r="A11" s="153" t="s">
        <v>806</v>
      </c>
      <c r="B11" s="611">
        <v>1.23</v>
      </c>
      <c r="C11" s="527" t="s">
        <v>187</v>
      </c>
      <c r="D11" s="527"/>
    </row>
    <row r="12" spans="1:3" ht="12.75">
      <c r="A12" s="153" t="s">
        <v>807</v>
      </c>
      <c r="B12" s="611">
        <v>0.8683</v>
      </c>
      <c r="C12" s="527" t="s">
        <v>187</v>
      </c>
    </row>
    <row r="13" spans="1:4" ht="12.75">
      <c r="A13" s="153" t="s">
        <v>808</v>
      </c>
      <c r="B13" s="37">
        <v>0.672</v>
      </c>
      <c r="C13" s="527" t="s">
        <v>187</v>
      </c>
      <c r="D13" s="527"/>
    </row>
    <row r="14" spans="1:4" ht="12.75">
      <c r="A14" s="1" t="s">
        <v>901</v>
      </c>
      <c r="B14" s="37">
        <v>1.3936</v>
      </c>
      <c r="C14" s="527" t="s">
        <v>187</v>
      </c>
      <c r="D14" s="527"/>
    </row>
    <row r="15" spans="1:4" ht="12.75">
      <c r="A15" s="1" t="s">
        <v>902</v>
      </c>
      <c r="B15" s="37">
        <v>1.151</v>
      </c>
      <c r="C15" s="527" t="s">
        <v>187</v>
      </c>
      <c r="D15" s="527"/>
    </row>
    <row r="16" ht="12.75"/>
    <row r="17" ht="12.75">
      <c r="A17" s="612" t="s">
        <v>809</v>
      </c>
    </row>
    <row r="19" ht="12.75">
      <c r="A19" s="527" t="s">
        <v>810</v>
      </c>
    </row>
  </sheetData>
  <printOptions/>
  <pageMargins left="0.7479166666666667" right="0.7479166666666667" top="0.9840277777777777" bottom="0.9840277777777777" header="0.5118055555555555" footer="0.5"/>
  <pageSetup horizontalDpi="300" verticalDpi="300" orientation="portrait" r:id="rId3"/>
  <headerFooter alignWithMargins="0">
    <oddFooter>&amp;C&amp;F&amp;R&amp;P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dc:creator>
  <cp:keywords/>
  <dc:description/>
  <cp:lastModifiedBy>mike johnson</cp:lastModifiedBy>
  <cp:lastPrinted>2008-02-28T00:23:08Z</cp:lastPrinted>
  <dcterms:created xsi:type="dcterms:W3CDTF">1999-11-08T17:25:34Z</dcterms:created>
  <dcterms:modified xsi:type="dcterms:W3CDTF">2009-05-15T22:31:59Z</dcterms:modified>
  <cp:category/>
  <cp:version/>
  <cp:contentType/>
  <cp:contentStatus/>
  <cp:revision>1</cp:revision>
</cp:coreProperties>
</file>