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1410" yWindow="210" windowWidth="23310" windowHeight="19395" tabRatio="791"/>
  </bookViews>
  <sheets>
    <sheet name="Cal" sheetId="1" r:id="rId1"/>
    <sheet name="Trim" sheetId="2" r:id="rId2"/>
    <sheet name="Lead Worksheet" sheetId="3" r:id="rId3"/>
    <sheet name="Ballast" sheetId="4" r:id="rId4"/>
    <sheet name="Tank _ PS notes" sheetId="5" r:id="rId5"/>
    <sheet name="Maint" sheetId="6" r:id="rId6"/>
    <sheet name="Pres cal" sheetId="7" r:id="rId7"/>
    <sheet name="Motor Data" sheetId="8" r:id="rId8"/>
    <sheet name="Material" sheetId="9" r:id="rId9"/>
  </sheets>
  <externalReferences>
    <externalReference r:id="rId10"/>
  </externalReferences>
  <definedNames>
    <definedName name="Alum_density">Material!$B$3</definedName>
    <definedName name="Bat_Hull_Vol">Trim!#REF!</definedName>
    <definedName name="batt_roll_angle">Trim!$C$34</definedName>
    <definedName name="Brass_Density">Material!$B$5</definedName>
    <definedName name="CG">#REF!</definedName>
    <definedName name="CG_2">Trim!$C$24</definedName>
    <definedName name="comp_VCB">Trim!$C$32</definedName>
    <definedName name="Complete_Fairing_Vol">Trim!$C$44</definedName>
    <definedName name="CT_Sail_Vol">Trim!$K$291</definedName>
    <definedName name="Dead_Oil_Vol">Trim!$R$20</definedName>
    <definedName name="Displaced_Volume">Trim!$C$16</definedName>
    <definedName name="Endcap_Ext_Bladder_Vol">Trim!#REF!</definedName>
    <definedName name="Endcap_Vol">Trim!$K$185</definedName>
    <definedName name="Fiberglass_Density">Material!$B$8</definedName>
    <definedName name="Fwd_Hull_Vol">Trim!#REF!</definedName>
    <definedName name="Internal_Oil_Vol">Trim!$L$20</definedName>
    <definedName name="lcg">#REF!</definedName>
    <definedName name="lcg_2">Trim!$C$26</definedName>
    <definedName name="Lead_Density">Material!$B$4</definedName>
    <definedName name="Main_Bulkhead_Vol">Trim!#REF!</definedName>
    <definedName name="move_mom_VCG">Trim!#REF!</definedName>
    <definedName name="Neoprene_Density">Material!$B$11</definedName>
    <definedName name="Oil_density">Material!$B$12</definedName>
    <definedName name="Oil_Specific_Gravity_gm_cc">Material!$B$12</definedName>
    <definedName name="Oil_wt">#REF!</definedName>
    <definedName name="Oil_wt_2">Trim!$C$179</definedName>
    <definedName name="pi">3.1415</definedName>
    <definedName name="Polypropylene_Density">Material!$B$7</definedName>
    <definedName name="_xlnm.Print_Area" localSheetId="0">Cal!$A$1:$E$164</definedName>
    <definedName name="_xlnm.Print_Area" localSheetId="5">Maint!$A$1:$B$57</definedName>
    <definedName name="_xlnm.Print_Area" localSheetId="4">'Tank _ PS notes'!$A$1:$B$58</definedName>
    <definedName name="_xlnm.Print_Area" localSheetId="1">Trim!$A$1:$R$352</definedName>
    <definedName name="PVC_Density">Material!$B$10</definedName>
    <definedName name="rho">#REF!</definedName>
    <definedName name="rho_2">Trim!$C$18</definedName>
    <definedName name="rho_fairing">#REF!</definedName>
    <definedName name="rho_fairing_2">Trim!#REF!</definedName>
    <definedName name="Roll">#REF!</definedName>
    <definedName name="Roll_2">Trim!$C$35</definedName>
    <definedName name="Roll_5">Trim!$C$35</definedName>
    <definedName name="SS_Density">Material!$B$6</definedName>
    <definedName name="stern">NA()</definedName>
    <definedName name="stern_2">NA()</definedName>
    <definedName name="stroke">#REF!</definedName>
    <definedName name="stroke_2">Trim!$C$27</definedName>
    <definedName name="stroke_5">Trim!$C$26</definedName>
    <definedName name="Tot_mom_VCB">Trim!$R$53</definedName>
    <definedName name="Tot_mom_VCG">Trim!$Q$53</definedName>
    <definedName name="Total_Moment_LCB">Trim!$N$53</definedName>
    <definedName name="Total_Moment_LCG">Trim!$I$53</definedName>
    <definedName name="Total_Oil_Vol">Trim!$C$180</definedName>
    <definedName name="total_scale_weight">Trim!$C$10</definedName>
    <definedName name="Total_Weight">Trim!$F$53</definedName>
    <definedName name="Total_Weight_In_Air">Trim!$C$9</definedName>
    <definedName name="vcg">#REF!</definedName>
    <definedName name="vcg_2">Trim!$C$33</definedName>
    <definedName name="Vehicle_roll">Trim!$C$35</definedName>
    <definedName name="Wing_density">Material!$B$13</definedName>
    <definedName name="Zinc_Density">Material!$B$9</definedName>
  </definedNames>
  <calcPr calcId="125725" concurrentCalc="0"/>
</workbook>
</file>

<file path=xl/calcChain.xml><?xml version="1.0" encoding="utf-8"?>
<calcChain xmlns="http://schemas.openxmlformats.org/spreadsheetml/2006/main">
  <c r="B2" i="1"/>
  <c r="B3"/>
  <c r="C11"/>
  <c r="C12"/>
  <c r="E27" i="2"/>
  <c r="C14" i="1"/>
  <c r="B16"/>
  <c r="D11"/>
  <c r="D12"/>
  <c r="D13"/>
  <c r="B17"/>
  <c r="D14"/>
  <c r="C25"/>
  <c r="D25"/>
  <c r="C26"/>
  <c r="D26"/>
  <c r="B28"/>
  <c r="C40"/>
  <c r="C41"/>
  <c r="E20" i="2"/>
  <c r="C43" i="1"/>
  <c r="D40"/>
  <c r="D41"/>
  <c r="D42"/>
  <c r="B46"/>
  <c r="B53"/>
  <c r="B54"/>
  <c r="B57"/>
  <c r="B58"/>
  <c r="B59"/>
  <c r="B125"/>
  <c r="B130"/>
  <c r="B131"/>
  <c r="E1" i="2"/>
  <c r="E2"/>
  <c r="M6"/>
  <c r="M7"/>
  <c r="M8"/>
  <c r="F56"/>
  <c r="F57"/>
  <c r="F62"/>
  <c r="F63"/>
  <c r="F64"/>
  <c r="F65"/>
  <c r="F66"/>
  <c r="F67"/>
  <c r="F68"/>
  <c r="F73"/>
  <c r="F74"/>
  <c r="F75"/>
  <c r="F76"/>
  <c r="F77"/>
  <c r="F78"/>
  <c r="F79"/>
  <c r="F80"/>
  <c r="F81"/>
  <c r="F82"/>
  <c r="F83"/>
  <c r="F84"/>
  <c r="F85"/>
  <c r="F86"/>
  <c r="F93"/>
  <c r="F94"/>
  <c r="F95"/>
  <c r="F96"/>
  <c r="F97"/>
  <c r="F98"/>
  <c r="F99"/>
  <c r="F100"/>
  <c r="F101"/>
  <c r="F102"/>
  <c r="F103"/>
  <c r="F108"/>
  <c r="F114"/>
  <c r="F119"/>
  <c r="F124"/>
  <c r="F129"/>
  <c r="F130"/>
  <c r="F136"/>
  <c r="F141"/>
  <c r="F147"/>
  <c r="F155"/>
  <c r="F156"/>
  <c r="F157"/>
  <c r="F158"/>
  <c r="F159"/>
  <c r="F160"/>
  <c r="F161"/>
  <c r="F162"/>
  <c r="F163"/>
  <c r="F164"/>
  <c r="F165"/>
  <c r="F166"/>
  <c r="F167"/>
  <c r="F168"/>
  <c r="F169"/>
  <c r="F170"/>
  <c r="F185"/>
  <c r="F186"/>
  <c r="F187"/>
  <c r="F188"/>
  <c r="F189"/>
  <c r="F190"/>
  <c r="F191"/>
  <c r="F192"/>
  <c r="F193"/>
  <c r="F194"/>
  <c r="F195"/>
  <c r="F196"/>
  <c r="F197"/>
  <c r="F198"/>
  <c r="F199"/>
  <c r="F200"/>
  <c r="F201"/>
  <c r="F202"/>
  <c r="F203"/>
  <c r="F204"/>
  <c r="F205"/>
  <c r="F206"/>
  <c r="F207"/>
  <c r="F208"/>
  <c r="F209"/>
  <c r="F210"/>
  <c r="C179"/>
  <c r="F211"/>
  <c r="F212"/>
  <c r="F213"/>
  <c r="F214"/>
  <c r="F215"/>
  <c r="F216"/>
  <c r="F217"/>
  <c r="F218"/>
  <c r="F219"/>
  <c r="F220"/>
  <c r="F221"/>
  <c r="F222"/>
  <c r="F223"/>
  <c r="F224"/>
  <c r="F225"/>
  <c r="F226"/>
  <c r="F227"/>
  <c r="F228"/>
  <c r="F229"/>
  <c r="F230"/>
  <c r="F231"/>
  <c r="F232"/>
  <c r="F233"/>
  <c r="F234"/>
  <c r="F239"/>
  <c r="F240"/>
  <c r="F241"/>
  <c r="F242"/>
  <c r="F243"/>
  <c r="F244"/>
  <c r="F245"/>
  <c r="F246"/>
  <c r="F247"/>
  <c r="F248"/>
  <c r="F254"/>
  <c r="F255"/>
  <c r="F256"/>
  <c r="F257"/>
  <c r="F258"/>
  <c r="F259"/>
  <c r="F260"/>
  <c r="F261"/>
  <c r="F262"/>
  <c r="F263"/>
  <c r="F264"/>
  <c r="F265"/>
  <c r="F266"/>
  <c r="F267"/>
  <c r="F268"/>
  <c r="F269"/>
  <c r="F270"/>
  <c r="F271"/>
  <c r="F273"/>
  <c r="F274"/>
  <c r="F275"/>
  <c r="F276"/>
  <c r="F277"/>
  <c r="F279"/>
  <c r="F280"/>
  <c r="F281"/>
  <c r="F282"/>
  <c r="F283"/>
  <c r="F284"/>
  <c r="F285"/>
  <c r="F286"/>
  <c r="F287"/>
  <c r="F288"/>
  <c r="F289"/>
  <c r="F290"/>
  <c r="F291"/>
  <c r="F292"/>
  <c r="E299"/>
  <c r="F301"/>
  <c r="F302"/>
  <c r="F299"/>
  <c r="F311"/>
  <c r="F312"/>
  <c r="F313"/>
  <c r="F314"/>
  <c r="F315"/>
  <c r="F316"/>
  <c r="F317"/>
  <c r="F318"/>
  <c r="F319"/>
  <c r="F320"/>
  <c r="F321"/>
  <c r="F322"/>
  <c r="F323"/>
  <c r="F328"/>
  <c r="F329"/>
  <c r="F330"/>
  <c r="F331"/>
  <c r="F332"/>
  <c r="F333"/>
  <c r="F334"/>
  <c r="F335"/>
  <c r="F340"/>
  <c r="F341"/>
  <c r="F342"/>
  <c r="F343"/>
  <c r="F344"/>
  <c r="F345"/>
  <c r="F346"/>
  <c r="F348"/>
  <c r="F349"/>
  <c r="F350"/>
  <c r="F351"/>
  <c r="F352"/>
  <c r="F51"/>
  <c r="F53"/>
  <c r="C9"/>
  <c r="M10"/>
  <c r="C11"/>
  <c r="C12"/>
  <c r="M12"/>
  <c r="B14" i="4"/>
  <c r="C15" i="2"/>
  <c r="J56"/>
  <c r="K56"/>
  <c r="J57"/>
  <c r="K57"/>
  <c r="B8" i="9"/>
  <c r="J62" i="2"/>
  <c r="K62"/>
  <c r="J63"/>
  <c r="K63"/>
  <c r="J64"/>
  <c r="K64"/>
  <c r="J65"/>
  <c r="K65"/>
  <c r="J66"/>
  <c r="K66"/>
  <c r="J67"/>
  <c r="K67"/>
  <c r="J68"/>
  <c r="K68"/>
  <c r="J73"/>
  <c r="K73"/>
  <c r="J74"/>
  <c r="K74"/>
  <c r="J75"/>
  <c r="K75"/>
  <c r="J76"/>
  <c r="K76"/>
  <c r="J77"/>
  <c r="K77"/>
  <c r="J78"/>
  <c r="K78"/>
  <c r="J79"/>
  <c r="K79"/>
  <c r="J80"/>
  <c r="K80"/>
  <c r="J81"/>
  <c r="K81"/>
  <c r="J82"/>
  <c r="K82"/>
  <c r="J83"/>
  <c r="K83"/>
  <c r="J84"/>
  <c r="K84"/>
  <c r="J85"/>
  <c r="K85"/>
  <c r="J86"/>
  <c r="K86"/>
  <c r="J93"/>
  <c r="K93"/>
  <c r="J94"/>
  <c r="K94"/>
  <c r="J95"/>
  <c r="K95"/>
  <c r="J96"/>
  <c r="K96"/>
  <c r="J97"/>
  <c r="K97"/>
  <c r="J98"/>
  <c r="K98"/>
  <c r="J99"/>
  <c r="K99"/>
  <c r="J100"/>
  <c r="K100"/>
  <c r="J101"/>
  <c r="K101"/>
  <c r="J102"/>
  <c r="K102"/>
  <c r="J103"/>
  <c r="K103"/>
  <c r="K108"/>
  <c r="K114"/>
  <c r="K124"/>
  <c r="K129"/>
  <c r="K130"/>
  <c r="K136"/>
  <c r="K141"/>
  <c r="K147"/>
  <c r="J155"/>
  <c r="K155"/>
  <c r="J156"/>
  <c r="K156"/>
  <c r="J157"/>
  <c r="K157"/>
  <c r="J158"/>
  <c r="K158"/>
  <c r="K159"/>
  <c r="J160"/>
  <c r="K160"/>
  <c r="J161"/>
  <c r="K161"/>
  <c r="J162"/>
  <c r="K162"/>
  <c r="K163"/>
  <c r="K164"/>
  <c r="J165"/>
  <c r="K165"/>
  <c r="K166"/>
  <c r="J167"/>
  <c r="K167"/>
  <c r="K168"/>
  <c r="K169"/>
  <c r="K170"/>
  <c r="K185"/>
  <c r="K186"/>
  <c r="K187"/>
  <c r="K188"/>
  <c r="K189"/>
  <c r="K190"/>
  <c r="K191"/>
  <c r="K192"/>
  <c r="K193"/>
  <c r="K194"/>
  <c r="K195"/>
  <c r="K196"/>
  <c r="K197"/>
  <c r="K198"/>
  <c r="K199"/>
  <c r="K200"/>
  <c r="K201"/>
  <c r="K202"/>
  <c r="K203"/>
  <c r="K204"/>
  <c r="K205"/>
  <c r="K206"/>
  <c r="K207"/>
  <c r="K208"/>
  <c r="K209"/>
  <c r="K210"/>
  <c r="C180"/>
  <c r="J211"/>
  <c r="K211"/>
  <c r="J212"/>
  <c r="K212"/>
  <c r="K213"/>
  <c r="K214"/>
  <c r="K215"/>
  <c r="K216"/>
  <c r="K217"/>
  <c r="K218"/>
  <c r="K219"/>
  <c r="K220"/>
  <c r="K221"/>
  <c r="K222"/>
  <c r="K223"/>
  <c r="K224"/>
  <c r="K225"/>
  <c r="K226"/>
  <c r="K227"/>
  <c r="K228"/>
  <c r="K229"/>
  <c r="K230"/>
  <c r="K231"/>
  <c r="K232"/>
  <c r="K233"/>
  <c r="K234"/>
  <c r="K239"/>
  <c r="K240"/>
  <c r="K241"/>
  <c r="K242"/>
  <c r="K243"/>
  <c r="K244"/>
  <c r="K245"/>
  <c r="K246"/>
  <c r="K247"/>
  <c r="K248"/>
  <c r="K254"/>
  <c r="K255"/>
  <c r="K256"/>
  <c r="K257"/>
  <c r="K258"/>
  <c r="K259"/>
  <c r="K260"/>
  <c r="K261"/>
  <c r="K262"/>
  <c r="K263"/>
  <c r="K264"/>
  <c r="K265"/>
  <c r="K266"/>
  <c r="K267"/>
  <c r="K268"/>
  <c r="K269"/>
  <c r="K270"/>
  <c r="K271"/>
  <c r="K273"/>
  <c r="K274"/>
  <c r="K275"/>
  <c r="K276"/>
  <c r="K277"/>
  <c r="K279"/>
  <c r="K280"/>
  <c r="K281"/>
  <c r="K282"/>
  <c r="K283"/>
  <c r="K284"/>
  <c r="K285"/>
  <c r="K286"/>
  <c r="K287"/>
  <c r="K288"/>
  <c r="K289"/>
  <c r="K290"/>
  <c r="K291"/>
  <c r="K292"/>
  <c r="K311"/>
  <c r="K312"/>
  <c r="K313"/>
  <c r="K314"/>
  <c r="K315"/>
  <c r="K316"/>
  <c r="K317"/>
  <c r="K318"/>
  <c r="K319"/>
  <c r="K320"/>
  <c r="K321"/>
  <c r="K322"/>
  <c r="K323"/>
  <c r="K328"/>
  <c r="K329"/>
  <c r="K330"/>
  <c r="K331"/>
  <c r="K332"/>
  <c r="K333"/>
  <c r="K334"/>
  <c r="K335"/>
  <c r="K340"/>
  <c r="K341"/>
  <c r="K342"/>
  <c r="K343"/>
  <c r="K344"/>
  <c r="K345"/>
  <c r="K346"/>
  <c r="K348"/>
  <c r="K349"/>
  <c r="K350"/>
  <c r="K351"/>
  <c r="K352"/>
  <c r="K51"/>
  <c r="K52"/>
  <c r="K53"/>
  <c r="C16"/>
  <c r="E16"/>
  <c r="C19"/>
  <c r="H56"/>
  <c r="I56"/>
  <c r="H57"/>
  <c r="I57"/>
  <c r="H62"/>
  <c r="I62"/>
  <c r="H63"/>
  <c r="I63"/>
  <c r="H64"/>
  <c r="I64"/>
  <c r="H65"/>
  <c r="I65"/>
  <c r="H66"/>
  <c r="I66"/>
  <c r="H67"/>
  <c r="I67"/>
  <c r="H68"/>
  <c r="I68"/>
  <c r="H73"/>
  <c r="I73"/>
  <c r="H74"/>
  <c r="I74"/>
  <c r="H75"/>
  <c r="I75"/>
  <c r="H76"/>
  <c r="I76"/>
  <c r="H77"/>
  <c r="I77"/>
  <c r="H78"/>
  <c r="I78"/>
  <c r="H79"/>
  <c r="I79"/>
  <c r="H80"/>
  <c r="I80"/>
  <c r="H81"/>
  <c r="I81"/>
  <c r="H82"/>
  <c r="I82"/>
  <c r="H83"/>
  <c r="I83"/>
  <c r="H84"/>
  <c r="I84"/>
  <c r="H85"/>
  <c r="I85"/>
  <c r="H86"/>
  <c r="I86"/>
  <c r="H93"/>
  <c r="I93"/>
  <c r="I94"/>
  <c r="I95"/>
  <c r="I96"/>
  <c r="I97"/>
  <c r="H98"/>
  <c r="I98"/>
  <c r="H99"/>
  <c r="I99"/>
  <c r="H100"/>
  <c r="I100"/>
  <c r="H101"/>
  <c r="I101"/>
  <c r="H102"/>
  <c r="I102"/>
  <c r="H103"/>
  <c r="I103"/>
  <c r="H108"/>
  <c r="I108"/>
  <c r="H114"/>
  <c r="I114"/>
  <c r="H119"/>
  <c r="I119"/>
  <c r="H124"/>
  <c r="I124"/>
  <c r="H129"/>
  <c r="I129"/>
  <c r="H130"/>
  <c r="I130"/>
  <c r="H136"/>
  <c r="I136"/>
  <c r="H141"/>
  <c r="I141"/>
  <c r="H147"/>
  <c r="I147"/>
  <c r="H155"/>
  <c r="I155"/>
  <c r="H156"/>
  <c r="I156"/>
  <c r="H157"/>
  <c r="I157"/>
  <c r="H158"/>
  <c r="I158"/>
  <c r="H159"/>
  <c r="I159"/>
  <c r="H160"/>
  <c r="I160"/>
  <c r="H161"/>
  <c r="I161"/>
  <c r="H162"/>
  <c r="I162"/>
  <c r="H163"/>
  <c r="I163"/>
  <c r="H164"/>
  <c r="I164"/>
  <c r="H165"/>
  <c r="I165"/>
  <c r="H166"/>
  <c r="I166"/>
  <c r="H167"/>
  <c r="I167"/>
  <c r="H168"/>
  <c r="I168"/>
  <c r="H169"/>
  <c r="I169"/>
  <c r="H170"/>
  <c r="I170"/>
  <c r="H185"/>
  <c r="I185"/>
  <c r="H186"/>
  <c r="I186"/>
  <c r="H187"/>
  <c r="I187"/>
  <c r="H188"/>
  <c r="I188"/>
  <c r="H189"/>
  <c r="I189"/>
  <c r="H190"/>
  <c r="I190"/>
  <c r="H191"/>
  <c r="I191"/>
  <c r="H192"/>
  <c r="I192"/>
  <c r="H193"/>
  <c r="I193"/>
  <c r="H194"/>
  <c r="I194"/>
  <c r="H195"/>
  <c r="I195"/>
  <c r="H196"/>
  <c r="I196"/>
  <c r="H197"/>
  <c r="I197"/>
  <c r="H198"/>
  <c r="I198"/>
  <c r="H199"/>
  <c r="I199"/>
  <c r="H200"/>
  <c r="I200"/>
  <c r="H201"/>
  <c r="I201"/>
  <c r="H202"/>
  <c r="I202"/>
  <c r="H203"/>
  <c r="I203"/>
  <c r="H204"/>
  <c r="I204"/>
  <c r="H205"/>
  <c r="I205"/>
  <c r="H206"/>
  <c r="I206"/>
  <c r="H207"/>
  <c r="I207"/>
  <c r="H208"/>
  <c r="I208"/>
  <c r="H209"/>
  <c r="I209"/>
  <c r="H210"/>
  <c r="I210"/>
  <c r="H211"/>
  <c r="I211"/>
  <c r="H212"/>
  <c r="I212"/>
  <c r="H213"/>
  <c r="I213"/>
  <c r="H214"/>
  <c r="I214"/>
  <c r="H215"/>
  <c r="I215"/>
  <c r="H216"/>
  <c r="I216"/>
  <c r="H217"/>
  <c r="I217"/>
  <c r="H218"/>
  <c r="I218"/>
  <c r="H219"/>
  <c r="I219"/>
  <c r="H220"/>
  <c r="I220"/>
  <c r="H221"/>
  <c r="I221"/>
  <c r="H222"/>
  <c r="I222"/>
  <c r="H223"/>
  <c r="I223"/>
  <c r="H224"/>
  <c r="I224"/>
  <c r="H225"/>
  <c r="I225"/>
  <c r="H226"/>
  <c r="I226"/>
  <c r="H227"/>
  <c r="I227"/>
  <c r="H228"/>
  <c r="I228"/>
  <c r="H229"/>
  <c r="I229"/>
  <c r="H230"/>
  <c r="I230"/>
  <c r="H231"/>
  <c r="I231"/>
  <c r="H232"/>
  <c r="I232"/>
  <c r="H233"/>
  <c r="I233"/>
  <c r="H234"/>
  <c r="I234"/>
  <c r="H239"/>
  <c r="I239"/>
  <c r="H240"/>
  <c r="I240"/>
  <c r="H241"/>
  <c r="I241"/>
  <c r="H242"/>
  <c r="I242"/>
  <c r="H243"/>
  <c r="I243"/>
  <c r="H244"/>
  <c r="I244"/>
  <c r="H245"/>
  <c r="I245"/>
  <c r="H246"/>
  <c r="I246"/>
  <c r="H247"/>
  <c r="I247"/>
  <c r="H248"/>
  <c r="I248"/>
  <c r="H254"/>
  <c r="I254"/>
  <c r="G255"/>
  <c r="H255"/>
  <c r="I255"/>
  <c r="H256"/>
  <c r="I256"/>
  <c r="H257"/>
  <c r="I257"/>
  <c r="H258"/>
  <c r="I258"/>
  <c r="H259"/>
  <c r="I259"/>
  <c r="H260"/>
  <c r="I260"/>
  <c r="H261"/>
  <c r="I261"/>
  <c r="H262"/>
  <c r="I262"/>
  <c r="H263"/>
  <c r="I263"/>
  <c r="H264"/>
  <c r="I264"/>
  <c r="H265"/>
  <c r="I265"/>
  <c r="H266"/>
  <c r="I266"/>
  <c r="H267"/>
  <c r="I267"/>
  <c r="H268"/>
  <c r="I268"/>
  <c r="H269"/>
  <c r="I269"/>
  <c r="H270"/>
  <c r="I270"/>
  <c r="H271"/>
  <c r="I271"/>
  <c r="H273"/>
  <c r="I273"/>
  <c r="H274"/>
  <c r="I274"/>
  <c r="H275"/>
  <c r="I275"/>
  <c r="H276"/>
  <c r="I276"/>
  <c r="H277"/>
  <c r="I277"/>
  <c r="H279"/>
  <c r="I279"/>
  <c r="H280"/>
  <c r="I280"/>
  <c r="H281"/>
  <c r="I281"/>
  <c r="H282"/>
  <c r="I282"/>
  <c r="H283"/>
  <c r="I283"/>
  <c r="H284"/>
  <c r="I284"/>
  <c r="H285"/>
  <c r="I285"/>
  <c r="H286"/>
  <c r="I286"/>
  <c r="H287"/>
  <c r="I287"/>
  <c r="H288"/>
  <c r="I288"/>
  <c r="H289"/>
  <c r="I289"/>
  <c r="H290"/>
  <c r="I290"/>
  <c r="H291"/>
  <c r="I291"/>
  <c r="H292"/>
  <c r="I292"/>
  <c r="I299"/>
  <c r="H301"/>
  <c r="I301"/>
  <c r="H302"/>
  <c r="I302"/>
  <c r="H311"/>
  <c r="I311"/>
  <c r="H312"/>
  <c r="I312"/>
  <c r="H313"/>
  <c r="I313"/>
  <c r="H314"/>
  <c r="I314"/>
  <c r="H315"/>
  <c r="I315"/>
  <c r="H316"/>
  <c r="I316"/>
  <c r="H317"/>
  <c r="I317"/>
  <c r="H318"/>
  <c r="I318"/>
  <c r="H319"/>
  <c r="I319"/>
  <c r="H320"/>
  <c r="I320"/>
  <c r="H321"/>
  <c r="I321"/>
  <c r="H322"/>
  <c r="I322"/>
  <c r="H323"/>
  <c r="I323"/>
  <c r="H328"/>
  <c r="I328"/>
  <c r="H329"/>
  <c r="I329"/>
  <c r="H330"/>
  <c r="I330"/>
  <c r="H331"/>
  <c r="I331"/>
  <c r="H332"/>
  <c r="I332"/>
  <c r="H333"/>
  <c r="I333"/>
  <c r="H334"/>
  <c r="I334"/>
  <c r="H335"/>
  <c r="I335"/>
  <c r="H340"/>
  <c r="I340"/>
  <c r="H341"/>
  <c r="I341"/>
  <c r="H342"/>
  <c r="I342"/>
  <c r="H343"/>
  <c r="I343"/>
  <c r="H344"/>
  <c r="I344"/>
  <c r="H345"/>
  <c r="I345"/>
  <c r="H346"/>
  <c r="I346"/>
  <c r="H348"/>
  <c r="I348"/>
  <c r="H349"/>
  <c r="I349"/>
  <c r="H350"/>
  <c r="I350"/>
  <c r="H351"/>
  <c r="I351"/>
  <c r="H352"/>
  <c r="I352"/>
  <c r="I51"/>
  <c r="H52"/>
  <c r="I52"/>
  <c r="I53"/>
  <c r="C24"/>
  <c r="E24"/>
  <c r="L56"/>
  <c r="M56"/>
  <c r="N56"/>
  <c r="L57"/>
  <c r="M57"/>
  <c r="N57"/>
  <c r="L62"/>
  <c r="M62"/>
  <c r="N62"/>
  <c r="L63"/>
  <c r="M63"/>
  <c r="N63"/>
  <c r="L64"/>
  <c r="M64"/>
  <c r="N64"/>
  <c r="L65"/>
  <c r="M65"/>
  <c r="N65"/>
  <c r="L66"/>
  <c r="M66"/>
  <c r="N66"/>
  <c r="L67"/>
  <c r="M67"/>
  <c r="N67"/>
  <c r="L68"/>
  <c r="M68"/>
  <c r="N68"/>
  <c r="L73"/>
  <c r="M73"/>
  <c r="N73"/>
  <c r="L74"/>
  <c r="M74"/>
  <c r="N74"/>
  <c r="L75"/>
  <c r="M75"/>
  <c r="N75"/>
  <c r="L76"/>
  <c r="M76"/>
  <c r="N76"/>
  <c r="L77"/>
  <c r="M77"/>
  <c r="N77"/>
  <c r="L78"/>
  <c r="M78"/>
  <c r="N78"/>
  <c r="L79"/>
  <c r="M79"/>
  <c r="N79"/>
  <c r="L80"/>
  <c r="M80"/>
  <c r="N80"/>
  <c r="L81"/>
  <c r="M81"/>
  <c r="N81"/>
  <c r="L82"/>
  <c r="M82"/>
  <c r="N82"/>
  <c r="L83"/>
  <c r="M83"/>
  <c r="N83"/>
  <c r="L84"/>
  <c r="M84"/>
  <c r="N84"/>
  <c r="L85"/>
  <c r="M85"/>
  <c r="N85"/>
  <c r="L86"/>
  <c r="M86"/>
  <c r="N86"/>
  <c r="L93"/>
  <c r="M93"/>
  <c r="N93"/>
  <c r="M94"/>
  <c r="N94"/>
  <c r="M95"/>
  <c r="N95"/>
  <c r="M96"/>
  <c r="N96"/>
  <c r="M97"/>
  <c r="N97"/>
  <c r="L98"/>
  <c r="M98"/>
  <c r="N98"/>
  <c r="L99"/>
  <c r="M99"/>
  <c r="N99"/>
  <c r="L100"/>
  <c r="M100"/>
  <c r="N100"/>
  <c r="L101"/>
  <c r="M101"/>
  <c r="N101"/>
  <c r="L102"/>
  <c r="M102"/>
  <c r="N102"/>
  <c r="L103"/>
  <c r="M103"/>
  <c r="N103"/>
  <c r="L108"/>
  <c r="M108"/>
  <c r="N108"/>
  <c r="L114"/>
  <c r="M114"/>
  <c r="N114"/>
  <c r="L119"/>
  <c r="M119"/>
  <c r="N119"/>
  <c r="L124"/>
  <c r="M124"/>
  <c r="N124"/>
  <c r="L129"/>
  <c r="M129"/>
  <c r="N129"/>
  <c r="L130"/>
  <c r="M130"/>
  <c r="N130"/>
  <c r="L136"/>
  <c r="M136"/>
  <c r="N136"/>
  <c r="L141"/>
  <c r="M141"/>
  <c r="N141"/>
  <c r="L147"/>
  <c r="M147"/>
  <c r="N147"/>
  <c r="L155"/>
  <c r="M155"/>
  <c r="N155"/>
  <c r="L156"/>
  <c r="M156"/>
  <c r="N156"/>
  <c r="L157"/>
  <c r="M157"/>
  <c r="N157"/>
  <c r="L158"/>
  <c r="M158"/>
  <c r="N158"/>
  <c r="L159"/>
  <c r="M159"/>
  <c r="N159"/>
  <c r="L160"/>
  <c r="M160"/>
  <c r="N160"/>
  <c r="L161"/>
  <c r="M161"/>
  <c r="N161"/>
  <c r="L162"/>
  <c r="M162"/>
  <c r="N162"/>
  <c r="L163"/>
  <c r="M163"/>
  <c r="N163"/>
  <c r="L164"/>
  <c r="M164"/>
  <c r="N164"/>
  <c r="L165"/>
  <c r="M165"/>
  <c r="N165"/>
  <c r="L166"/>
  <c r="M166"/>
  <c r="N166"/>
  <c r="L167"/>
  <c r="M167"/>
  <c r="N167"/>
  <c r="L168"/>
  <c r="M168"/>
  <c r="N168"/>
  <c r="L169"/>
  <c r="M169"/>
  <c r="N169"/>
  <c r="L170"/>
  <c r="M170"/>
  <c r="N170"/>
  <c r="M185"/>
  <c r="N185"/>
  <c r="L186"/>
  <c r="M186"/>
  <c r="N186"/>
  <c r="L187"/>
  <c r="M187"/>
  <c r="N187"/>
  <c r="L188"/>
  <c r="M188"/>
  <c r="N188"/>
  <c r="L189"/>
  <c r="M189"/>
  <c r="N189"/>
  <c r="L190"/>
  <c r="M190"/>
  <c r="N190"/>
  <c r="L191"/>
  <c r="M191"/>
  <c r="N191"/>
  <c r="L192"/>
  <c r="M192"/>
  <c r="N192"/>
  <c r="L193"/>
  <c r="M193"/>
  <c r="N193"/>
  <c r="L194"/>
  <c r="M194"/>
  <c r="N194"/>
  <c r="L195"/>
  <c r="M195"/>
  <c r="N195"/>
  <c r="L196"/>
  <c r="M196"/>
  <c r="N196"/>
  <c r="L197"/>
  <c r="M197"/>
  <c r="N197"/>
  <c r="L198"/>
  <c r="M198"/>
  <c r="N198"/>
  <c r="L199"/>
  <c r="M199"/>
  <c r="N199"/>
  <c r="L200"/>
  <c r="M200"/>
  <c r="N200"/>
  <c r="L201"/>
  <c r="M201"/>
  <c r="N201"/>
  <c r="L202"/>
  <c r="M202"/>
  <c r="N202"/>
  <c r="L203"/>
  <c r="M203"/>
  <c r="N203"/>
  <c r="L204"/>
  <c r="M204"/>
  <c r="N204"/>
  <c r="L205"/>
  <c r="M205"/>
  <c r="N205"/>
  <c r="L206"/>
  <c r="M206"/>
  <c r="N206"/>
  <c r="L207"/>
  <c r="M207"/>
  <c r="N207"/>
  <c r="L208"/>
  <c r="M208"/>
  <c r="N208"/>
  <c r="L209"/>
  <c r="M209"/>
  <c r="N209"/>
  <c r="M211"/>
  <c r="N211"/>
  <c r="L212"/>
  <c r="M212"/>
  <c r="N212"/>
  <c r="L213"/>
  <c r="M213"/>
  <c r="N213"/>
  <c r="L214"/>
  <c r="M214"/>
  <c r="N214"/>
  <c r="L215"/>
  <c r="M215"/>
  <c r="N215"/>
  <c r="L216"/>
  <c r="M216"/>
  <c r="N216"/>
  <c r="L217"/>
  <c r="M217"/>
  <c r="N217"/>
  <c r="L218"/>
  <c r="M218"/>
  <c r="N218"/>
  <c r="L219"/>
  <c r="M219"/>
  <c r="N219"/>
  <c r="L220"/>
  <c r="M220"/>
  <c r="N220"/>
  <c r="L221"/>
  <c r="M221"/>
  <c r="N221"/>
  <c r="L222"/>
  <c r="M222"/>
  <c r="N222"/>
  <c r="L223"/>
  <c r="M223"/>
  <c r="N223"/>
  <c r="L224"/>
  <c r="M224"/>
  <c r="N224"/>
  <c r="L225"/>
  <c r="M225"/>
  <c r="N225"/>
  <c r="L226"/>
  <c r="M226"/>
  <c r="N226"/>
  <c r="L227"/>
  <c r="M227"/>
  <c r="N227"/>
  <c r="L228"/>
  <c r="M228"/>
  <c r="N228"/>
  <c r="L229"/>
  <c r="M229"/>
  <c r="N229"/>
  <c r="L230"/>
  <c r="M230"/>
  <c r="N230"/>
  <c r="L231"/>
  <c r="M231"/>
  <c r="N231"/>
  <c r="L232"/>
  <c r="M232"/>
  <c r="N232"/>
  <c r="L233"/>
  <c r="M233"/>
  <c r="N233"/>
  <c r="L234"/>
  <c r="M234"/>
  <c r="N234"/>
  <c r="L239"/>
  <c r="M239"/>
  <c r="N239"/>
  <c r="L240"/>
  <c r="M240"/>
  <c r="N240"/>
  <c r="L241"/>
  <c r="M241"/>
  <c r="N241"/>
  <c r="L242"/>
  <c r="M242"/>
  <c r="N242"/>
  <c r="L243"/>
  <c r="M243"/>
  <c r="N243"/>
  <c r="L244"/>
  <c r="M244"/>
  <c r="N244"/>
  <c r="L245"/>
  <c r="M245"/>
  <c r="N245"/>
  <c r="L246"/>
  <c r="M246"/>
  <c r="N246"/>
  <c r="L247"/>
  <c r="M247"/>
  <c r="N247"/>
  <c r="L254"/>
  <c r="M254"/>
  <c r="N254"/>
  <c r="L255"/>
  <c r="M255"/>
  <c r="N255"/>
  <c r="L256"/>
  <c r="M256"/>
  <c r="N256"/>
  <c r="L257"/>
  <c r="M257"/>
  <c r="N257"/>
  <c r="L258"/>
  <c r="M258"/>
  <c r="N258"/>
  <c r="L259"/>
  <c r="M259"/>
  <c r="N259"/>
  <c r="L260"/>
  <c r="M260"/>
  <c r="N260"/>
  <c r="L261"/>
  <c r="M261"/>
  <c r="N261"/>
  <c r="L262"/>
  <c r="M262"/>
  <c r="N262"/>
  <c r="L263"/>
  <c r="M263"/>
  <c r="N263"/>
  <c r="L264"/>
  <c r="M264"/>
  <c r="N264"/>
  <c r="L265"/>
  <c r="M265"/>
  <c r="N265"/>
  <c r="L266"/>
  <c r="M266"/>
  <c r="N266"/>
  <c r="L267"/>
  <c r="M267"/>
  <c r="N267"/>
  <c r="L268"/>
  <c r="M268"/>
  <c r="N268"/>
  <c r="L269"/>
  <c r="M269"/>
  <c r="N269"/>
  <c r="L270"/>
  <c r="M270"/>
  <c r="N270"/>
  <c r="L271"/>
  <c r="M271"/>
  <c r="N271"/>
  <c r="L273"/>
  <c r="M273"/>
  <c r="N273"/>
  <c r="L274"/>
  <c r="M274"/>
  <c r="N274"/>
  <c r="L275"/>
  <c r="M275"/>
  <c r="N275"/>
  <c r="L276"/>
  <c r="M276"/>
  <c r="N276"/>
  <c r="L277"/>
  <c r="M277"/>
  <c r="N277"/>
  <c r="L279"/>
  <c r="M279"/>
  <c r="N279"/>
  <c r="L280"/>
  <c r="M280"/>
  <c r="N280"/>
  <c r="L281"/>
  <c r="M281"/>
  <c r="N281"/>
  <c r="L282"/>
  <c r="M282"/>
  <c r="N282"/>
  <c r="L283"/>
  <c r="M283"/>
  <c r="N283"/>
  <c r="L284"/>
  <c r="M284"/>
  <c r="N284"/>
  <c r="L285"/>
  <c r="M285"/>
  <c r="N285"/>
  <c r="L286"/>
  <c r="M286"/>
  <c r="N286"/>
  <c r="L287"/>
  <c r="M287"/>
  <c r="N287"/>
  <c r="L288"/>
  <c r="M288"/>
  <c r="N288"/>
  <c r="L289"/>
  <c r="M289"/>
  <c r="N289"/>
  <c r="L290"/>
  <c r="M290"/>
  <c r="N290"/>
  <c r="L291"/>
  <c r="M291"/>
  <c r="N291"/>
  <c r="L292"/>
  <c r="M292"/>
  <c r="N292"/>
  <c r="N299"/>
  <c r="M301"/>
  <c r="N301"/>
  <c r="M302"/>
  <c r="N302"/>
  <c r="L311"/>
  <c r="M311"/>
  <c r="N311"/>
  <c r="L312"/>
  <c r="M312"/>
  <c r="N312"/>
  <c r="L313"/>
  <c r="M313"/>
  <c r="N313"/>
  <c r="L314"/>
  <c r="M314"/>
  <c r="N314"/>
  <c r="L315"/>
  <c r="M315"/>
  <c r="N315"/>
  <c r="L316"/>
  <c r="M316"/>
  <c r="N316"/>
  <c r="L317"/>
  <c r="M317"/>
  <c r="N317"/>
  <c r="L318"/>
  <c r="M318"/>
  <c r="N318"/>
  <c r="L319"/>
  <c r="M319"/>
  <c r="N319"/>
  <c r="L320"/>
  <c r="M320"/>
  <c r="N320"/>
  <c r="L321"/>
  <c r="M321"/>
  <c r="N321"/>
  <c r="L322"/>
  <c r="M322"/>
  <c r="N322"/>
  <c r="L323"/>
  <c r="M323"/>
  <c r="N323"/>
  <c r="M328"/>
  <c r="N328"/>
  <c r="M329"/>
  <c r="N329"/>
  <c r="L330"/>
  <c r="M330"/>
  <c r="N330"/>
  <c r="L331"/>
  <c r="M331"/>
  <c r="N331"/>
  <c r="L332"/>
  <c r="M332"/>
  <c r="N332"/>
  <c r="L333"/>
  <c r="M333"/>
  <c r="N333"/>
  <c r="L334"/>
  <c r="M334"/>
  <c r="N334"/>
  <c r="L335"/>
  <c r="M335"/>
  <c r="N335"/>
  <c r="M340"/>
  <c r="N340"/>
  <c r="M341"/>
  <c r="N341"/>
  <c r="L342"/>
  <c r="M342"/>
  <c r="N342"/>
  <c r="L343"/>
  <c r="M343"/>
  <c r="N343"/>
  <c r="M344"/>
  <c r="N344"/>
  <c r="L345"/>
  <c r="M345"/>
  <c r="N345"/>
  <c r="L346"/>
  <c r="M346"/>
  <c r="N346"/>
  <c r="L348"/>
  <c r="M348"/>
  <c r="N348"/>
  <c r="L349"/>
  <c r="M349"/>
  <c r="N349"/>
  <c r="L350"/>
  <c r="M350"/>
  <c r="N350"/>
  <c r="L351"/>
  <c r="M351"/>
  <c r="N351"/>
  <c r="L352"/>
  <c r="M352"/>
  <c r="N352"/>
  <c r="N51"/>
  <c r="M52"/>
  <c r="N52"/>
  <c r="N53"/>
  <c r="C25"/>
  <c r="E25"/>
  <c r="C26"/>
  <c r="C28"/>
  <c r="P56"/>
  <c r="R56"/>
  <c r="P57"/>
  <c r="R57"/>
  <c r="P62"/>
  <c r="R62"/>
  <c r="P63"/>
  <c r="R63"/>
  <c r="P64"/>
  <c r="R64"/>
  <c r="P65"/>
  <c r="R65"/>
  <c r="P66"/>
  <c r="R66"/>
  <c r="P67"/>
  <c r="R67"/>
  <c r="P68"/>
  <c r="R68"/>
  <c r="P73"/>
  <c r="R73"/>
  <c r="P74"/>
  <c r="R74"/>
  <c r="P75"/>
  <c r="R75"/>
  <c r="P76"/>
  <c r="R76"/>
  <c r="P77"/>
  <c r="R77"/>
  <c r="P78"/>
  <c r="R78"/>
  <c r="P79"/>
  <c r="R79"/>
  <c r="P80"/>
  <c r="R80"/>
  <c r="P81"/>
  <c r="R81"/>
  <c r="P82"/>
  <c r="R82"/>
  <c r="P83"/>
  <c r="R83"/>
  <c r="P84"/>
  <c r="R84"/>
  <c r="P85"/>
  <c r="R85"/>
  <c r="P86"/>
  <c r="R86"/>
  <c r="P93"/>
  <c r="R93"/>
  <c r="P94"/>
  <c r="R94"/>
  <c r="P95"/>
  <c r="R95"/>
  <c r="P96"/>
  <c r="R96"/>
  <c r="P97"/>
  <c r="R97"/>
  <c r="P98"/>
  <c r="R98"/>
  <c r="P99"/>
  <c r="R99"/>
  <c r="P100"/>
  <c r="R100"/>
  <c r="P101"/>
  <c r="R101"/>
  <c r="P102"/>
  <c r="R102"/>
  <c r="P103"/>
  <c r="R103"/>
  <c r="P108"/>
  <c r="R108"/>
  <c r="P114"/>
  <c r="R114"/>
  <c r="P119"/>
  <c r="R119"/>
  <c r="P124"/>
  <c r="R124"/>
  <c r="P129"/>
  <c r="R129"/>
  <c r="P130"/>
  <c r="R130"/>
  <c r="P136"/>
  <c r="R136"/>
  <c r="P141"/>
  <c r="R141"/>
  <c r="P147"/>
  <c r="R147"/>
  <c r="P155"/>
  <c r="R155"/>
  <c r="P156"/>
  <c r="R156"/>
  <c r="P157"/>
  <c r="R157"/>
  <c r="P158"/>
  <c r="R158"/>
  <c r="P159"/>
  <c r="R159"/>
  <c r="P160"/>
  <c r="R160"/>
  <c r="P161"/>
  <c r="R161"/>
  <c r="P162"/>
  <c r="R162"/>
  <c r="P163"/>
  <c r="R163"/>
  <c r="P164"/>
  <c r="R164"/>
  <c r="P165"/>
  <c r="R165"/>
  <c r="P166"/>
  <c r="R166"/>
  <c r="P167"/>
  <c r="R167"/>
  <c r="P168"/>
  <c r="R168"/>
  <c r="P169"/>
  <c r="R169"/>
  <c r="P170"/>
  <c r="R170"/>
  <c r="P185"/>
  <c r="R185"/>
  <c r="P186"/>
  <c r="R186"/>
  <c r="P187"/>
  <c r="R187"/>
  <c r="P188"/>
  <c r="R188"/>
  <c r="P189"/>
  <c r="R189"/>
  <c r="P190"/>
  <c r="R190"/>
  <c r="P191"/>
  <c r="R191"/>
  <c r="P192"/>
  <c r="R192"/>
  <c r="P193"/>
  <c r="R193"/>
  <c r="P194"/>
  <c r="R194"/>
  <c r="P195"/>
  <c r="R195"/>
  <c r="P196"/>
  <c r="R196"/>
  <c r="P197"/>
  <c r="R197"/>
  <c r="P198"/>
  <c r="R198"/>
  <c r="P199"/>
  <c r="R199"/>
  <c r="P200"/>
  <c r="R200"/>
  <c r="P201"/>
  <c r="R201"/>
  <c r="P202"/>
  <c r="R202"/>
  <c r="P203"/>
  <c r="R203"/>
  <c r="P204"/>
  <c r="R204"/>
  <c r="P205"/>
  <c r="R205"/>
  <c r="P206"/>
  <c r="R206"/>
  <c r="P207"/>
  <c r="R207"/>
  <c r="P208"/>
  <c r="R208"/>
  <c r="P209"/>
  <c r="R209"/>
  <c r="P210"/>
  <c r="R210"/>
  <c r="P211"/>
  <c r="R211"/>
  <c r="P212"/>
  <c r="R212"/>
  <c r="P213"/>
  <c r="R213"/>
  <c r="P214"/>
  <c r="R214"/>
  <c r="P215"/>
  <c r="R215"/>
  <c r="P216"/>
  <c r="R216"/>
  <c r="P217"/>
  <c r="R217"/>
  <c r="P218"/>
  <c r="R218"/>
  <c r="P219"/>
  <c r="R219"/>
  <c r="P220"/>
  <c r="R220"/>
  <c r="P221"/>
  <c r="R221"/>
  <c r="P222"/>
  <c r="R222"/>
  <c r="P223"/>
  <c r="R223"/>
  <c r="P224"/>
  <c r="R224"/>
  <c r="P225"/>
  <c r="R225"/>
  <c r="P226"/>
  <c r="R226"/>
  <c r="P227"/>
  <c r="R227"/>
  <c r="P228"/>
  <c r="R228"/>
  <c r="P229"/>
  <c r="R229"/>
  <c r="P230"/>
  <c r="R230"/>
  <c r="P231"/>
  <c r="R231"/>
  <c r="P232"/>
  <c r="R232"/>
  <c r="P233"/>
  <c r="R233"/>
  <c r="P234"/>
  <c r="R234"/>
  <c r="P239"/>
  <c r="R239"/>
  <c r="P240"/>
  <c r="R240"/>
  <c r="P241"/>
  <c r="R241"/>
  <c r="P242"/>
  <c r="R242"/>
  <c r="P243"/>
  <c r="R243"/>
  <c r="P244"/>
  <c r="R244"/>
  <c r="P245"/>
  <c r="R245"/>
  <c r="P246"/>
  <c r="R246"/>
  <c r="P247"/>
  <c r="R247"/>
  <c r="P248"/>
  <c r="R248"/>
  <c r="P254"/>
  <c r="R254"/>
  <c r="P255"/>
  <c r="R255"/>
  <c r="P256"/>
  <c r="R256"/>
  <c r="P257"/>
  <c r="R257"/>
  <c r="P258"/>
  <c r="R258"/>
  <c r="P259"/>
  <c r="R259"/>
  <c r="P260"/>
  <c r="R260"/>
  <c r="P261"/>
  <c r="R261"/>
  <c r="P262"/>
  <c r="R262"/>
  <c r="P263"/>
  <c r="R263"/>
  <c r="P264"/>
  <c r="R264"/>
  <c r="P265"/>
  <c r="R265"/>
  <c r="P266"/>
  <c r="R266"/>
  <c r="P267"/>
  <c r="R267"/>
  <c r="P268"/>
  <c r="R268"/>
  <c r="P269"/>
  <c r="R269"/>
  <c r="P270"/>
  <c r="R270"/>
  <c r="P271"/>
  <c r="R271"/>
  <c r="P273"/>
  <c r="R273"/>
  <c r="P274"/>
  <c r="R274"/>
  <c r="P275"/>
  <c r="R275"/>
  <c r="P276"/>
  <c r="R276"/>
  <c r="P277"/>
  <c r="R277"/>
  <c r="P279"/>
  <c r="R279"/>
  <c r="P280"/>
  <c r="R280"/>
  <c r="P281"/>
  <c r="R281"/>
  <c r="P282"/>
  <c r="R282"/>
  <c r="P283"/>
  <c r="R283"/>
  <c r="P284"/>
  <c r="R284"/>
  <c r="P285"/>
  <c r="R285"/>
  <c r="P286"/>
  <c r="R286"/>
  <c r="P287"/>
  <c r="R287"/>
  <c r="P288"/>
  <c r="R288"/>
  <c r="P289"/>
  <c r="R289"/>
  <c r="P290"/>
  <c r="R290"/>
  <c r="P291"/>
  <c r="R291"/>
  <c r="P292"/>
  <c r="R292"/>
  <c r="R299"/>
  <c r="R301"/>
  <c r="P302"/>
  <c r="R302"/>
  <c r="P311"/>
  <c r="R311"/>
  <c r="P312"/>
  <c r="R312"/>
  <c r="P313"/>
  <c r="R313"/>
  <c r="P314"/>
  <c r="R314"/>
  <c r="P315"/>
  <c r="R315"/>
  <c r="P316"/>
  <c r="R316"/>
  <c r="P317"/>
  <c r="R317"/>
  <c r="P318"/>
  <c r="R318"/>
  <c r="P319"/>
  <c r="R319"/>
  <c r="P320"/>
  <c r="R320"/>
  <c r="P321"/>
  <c r="R321"/>
  <c r="P322"/>
  <c r="R322"/>
  <c r="P323"/>
  <c r="R323"/>
  <c r="P328"/>
  <c r="R328"/>
  <c r="P329"/>
  <c r="R329"/>
  <c r="P330"/>
  <c r="R330"/>
  <c r="P331"/>
  <c r="R331"/>
  <c r="P332"/>
  <c r="R332"/>
  <c r="P333"/>
  <c r="R333"/>
  <c r="P334"/>
  <c r="R334"/>
  <c r="P335"/>
  <c r="R335"/>
  <c r="P340"/>
  <c r="R340"/>
  <c r="P341"/>
  <c r="R341"/>
  <c r="P342"/>
  <c r="R342"/>
  <c r="P343"/>
  <c r="R343"/>
  <c r="P344"/>
  <c r="R344"/>
  <c r="P345"/>
  <c r="R345"/>
  <c r="P346"/>
  <c r="R346"/>
  <c r="P348"/>
  <c r="R348"/>
  <c r="P349"/>
  <c r="R349"/>
  <c r="P350"/>
  <c r="R350"/>
  <c r="P351"/>
  <c r="R351"/>
  <c r="P352"/>
  <c r="R352"/>
  <c r="R51"/>
  <c r="P52"/>
  <c r="R52"/>
  <c r="R53"/>
  <c r="C32"/>
  <c r="Q56"/>
  <c r="Q57"/>
  <c r="Q62"/>
  <c r="Q63"/>
  <c r="Q64"/>
  <c r="Q65"/>
  <c r="Q66"/>
  <c r="Q67"/>
  <c r="Q68"/>
  <c r="Q73"/>
  <c r="Q74"/>
  <c r="Q75"/>
  <c r="Q76"/>
  <c r="Q77"/>
  <c r="Q78"/>
  <c r="Q79"/>
  <c r="Q80"/>
  <c r="Q81"/>
  <c r="Q82"/>
  <c r="Q83"/>
  <c r="Q84"/>
  <c r="Q85"/>
  <c r="Q86"/>
  <c r="Q93"/>
  <c r="Q94"/>
  <c r="Q95"/>
  <c r="Q96"/>
  <c r="Q97"/>
  <c r="Q98"/>
  <c r="Q99"/>
  <c r="Q100"/>
  <c r="Q101"/>
  <c r="Q102"/>
  <c r="Q103"/>
  <c r="Q108"/>
  <c r="Q114"/>
  <c r="Q119"/>
  <c r="Q124"/>
  <c r="Q129"/>
  <c r="Q130"/>
  <c r="Q136"/>
  <c r="Q141"/>
  <c r="Q147"/>
  <c r="Q155"/>
  <c r="Q156"/>
  <c r="Q157"/>
  <c r="Q158"/>
  <c r="Q159"/>
  <c r="Q160"/>
  <c r="Q161"/>
  <c r="Q162"/>
  <c r="Q163"/>
  <c r="Q164"/>
  <c r="Q165"/>
  <c r="Q166"/>
  <c r="Q167"/>
  <c r="Q168"/>
  <c r="Q169"/>
  <c r="Q170"/>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9"/>
  <c r="Q240"/>
  <c r="Q241"/>
  <c r="Q242"/>
  <c r="Q243"/>
  <c r="Q244"/>
  <c r="Q245"/>
  <c r="Q246"/>
  <c r="Q247"/>
  <c r="Q248"/>
  <c r="Q254"/>
  <c r="Q255"/>
  <c r="Q256"/>
  <c r="Q257"/>
  <c r="Q258"/>
  <c r="Q259"/>
  <c r="Q260"/>
  <c r="Q261"/>
  <c r="Q262"/>
  <c r="Q263"/>
  <c r="Q264"/>
  <c r="Q265"/>
  <c r="Q266"/>
  <c r="Q267"/>
  <c r="Q268"/>
  <c r="Q269"/>
  <c r="Q270"/>
  <c r="Q271"/>
  <c r="Q273"/>
  <c r="Q274"/>
  <c r="Q275"/>
  <c r="Q276"/>
  <c r="Q277"/>
  <c r="Q279"/>
  <c r="Q280"/>
  <c r="Q281"/>
  <c r="Q282"/>
  <c r="Q283"/>
  <c r="Q284"/>
  <c r="Q285"/>
  <c r="Q286"/>
  <c r="Q287"/>
  <c r="Q288"/>
  <c r="Q289"/>
  <c r="Q290"/>
  <c r="Q291"/>
  <c r="Q292"/>
  <c r="Q299"/>
  <c r="Q301"/>
  <c r="Q302"/>
  <c r="Q311"/>
  <c r="Q312"/>
  <c r="Q313"/>
  <c r="Q314"/>
  <c r="Q315"/>
  <c r="Q316"/>
  <c r="Q317"/>
  <c r="Q318"/>
  <c r="Q319"/>
  <c r="Q320"/>
  <c r="Q321"/>
  <c r="Q322"/>
  <c r="Q323"/>
  <c r="Q328"/>
  <c r="Q329"/>
  <c r="Q330"/>
  <c r="Q331"/>
  <c r="Q332"/>
  <c r="Q333"/>
  <c r="Q334"/>
  <c r="Q335"/>
  <c r="Q340"/>
  <c r="Q341"/>
  <c r="Q342"/>
  <c r="Q343"/>
  <c r="Q344"/>
  <c r="Q345"/>
  <c r="Q346"/>
  <c r="Q348"/>
  <c r="Q349"/>
  <c r="Q350"/>
  <c r="Q351"/>
  <c r="Q352"/>
  <c r="Q51"/>
  <c r="Q52"/>
  <c r="Q53"/>
  <c r="C31"/>
  <c r="C33"/>
  <c r="C29"/>
  <c r="C35"/>
  <c r="C60"/>
  <c r="C90"/>
  <c r="C42"/>
  <c r="C43"/>
  <c r="E43"/>
  <c r="C44"/>
  <c r="C48"/>
  <c r="C174"/>
  <c r="C308"/>
  <c r="C326"/>
  <c r="C338"/>
  <c r="C152"/>
  <c r="C47"/>
  <c r="E48"/>
  <c r="F45"/>
  <c r="C49"/>
  <c r="E61"/>
  <c r="C71"/>
  <c r="E72"/>
  <c r="U78"/>
  <c r="C88"/>
  <c r="D88"/>
  <c r="E91"/>
  <c r="U98"/>
  <c r="C106"/>
  <c r="C107"/>
  <c r="E107"/>
  <c r="C112"/>
  <c r="E113"/>
  <c r="C117"/>
  <c r="E118"/>
  <c r="C122"/>
  <c r="C123"/>
  <c r="E123"/>
  <c r="C127"/>
  <c r="E128"/>
  <c r="C134"/>
  <c r="E135"/>
  <c r="C139"/>
  <c r="E140"/>
  <c r="C145"/>
  <c r="C146"/>
  <c r="E146"/>
  <c r="E153"/>
  <c r="C154"/>
  <c r="E175"/>
  <c r="C183"/>
  <c r="E184"/>
  <c r="L210"/>
  <c r="M210"/>
  <c r="C237"/>
  <c r="E238"/>
  <c r="L248"/>
  <c r="M248"/>
  <c r="C251"/>
  <c r="E252"/>
  <c r="E309"/>
  <c r="E327"/>
  <c r="E339"/>
  <c r="C1" i="3"/>
  <c r="B9"/>
  <c r="M9"/>
  <c r="B10"/>
  <c r="M10"/>
  <c r="C11"/>
  <c r="M11"/>
  <c r="B15"/>
  <c r="M15"/>
  <c r="M16"/>
  <c r="B17"/>
  <c r="M17"/>
  <c r="B18"/>
  <c r="M18"/>
  <c r="M19"/>
  <c r="M20"/>
  <c r="B21"/>
  <c r="M21"/>
  <c r="M22"/>
  <c r="B23"/>
  <c r="M23"/>
  <c r="B24"/>
  <c r="M24"/>
  <c r="M25"/>
  <c r="B26"/>
  <c r="M26"/>
  <c r="B27"/>
  <c r="M27"/>
  <c r="B28"/>
  <c r="M28"/>
  <c r="B29"/>
  <c r="M29"/>
  <c r="M30"/>
  <c r="M33"/>
  <c r="M34"/>
  <c r="B35"/>
  <c r="M35"/>
  <c r="B36"/>
  <c r="M36"/>
  <c r="M37"/>
  <c r="M39"/>
  <c r="D1" i="4"/>
  <c r="C2"/>
  <c r="E2"/>
  <c r="B5"/>
  <c r="D11"/>
  <c r="B11"/>
  <c r="B18"/>
  <c r="B19"/>
  <c r="C18"/>
  <c r="D18"/>
  <c r="D19"/>
  <c r="B20"/>
  <c r="C20"/>
  <c r="D20"/>
  <c r="C21"/>
  <c r="B28"/>
  <c r="B31"/>
  <c r="B32"/>
  <c r="E32"/>
  <c r="B33"/>
  <c r="B34"/>
  <c r="B38"/>
  <c r="D39"/>
  <c r="B40"/>
  <c r="B39"/>
  <c r="C38"/>
  <c r="D38"/>
  <c r="C40"/>
  <c r="D40"/>
  <c r="C41"/>
  <c r="B42"/>
  <c r="B43"/>
  <c r="B44"/>
  <c r="B2" i="5"/>
  <c r="B2" i="6"/>
  <c r="B2" i="7"/>
  <c r="F8"/>
  <c r="B25"/>
  <c r="D25"/>
  <c r="B26"/>
  <c r="D26"/>
  <c r="B27"/>
  <c r="D27"/>
  <c r="B28"/>
  <c r="D28"/>
  <c r="B29"/>
  <c r="D29"/>
  <c r="B30"/>
  <c r="D30"/>
  <c r="B36"/>
  <c r="D36"/>
  <c r="B37"/>
  <c r="D37"/>
  <c r="B38"/>
  <c r="D38"/>
  <c r="B39"/>
  <c r="D39"/>
  <c r="B40"/>
  <c r="D40"/>
  <c r="B41"/>
  <c r="D41"/>
  <c r="B46"/>
  <c r="D46"/>
  <c r="B47"/>
  <c r="D47"/>
  <c r="B53"/>
  <c r="E53"/>
  <c r="B54"/>
  <c r="C54"/>
  <c r="E54"/>
  <c r="F54"/>
  <c r="B55"/>
  <c r="C55"/>
  <c r="E55"/>
  <c r="F55"/>
  <c r="B56"/>
  <c r="C56"/>
  <c r="E56"/>
  <c r="F56"/>
  <c r="B57"/>
  <c r="C57"/>
  <c r="E57"/>
  <c r="F57"/>
  <c r="B58"/>
  <c r="C58"/>
  <c r="E58"/>
  <c r="F58"/>
  <c r="B64"/>
  <c r="E64"/>
  <c r="B65"/>
  <c r="E65"/>
  <c r="B66"/>
  <c r="E66"/>
  <c r="A5" i="8"/>
  <c r="C5"/>
  <c r="D5"/>
  <c r="A6"/>
  <c r="G6"/>
  <c r="H6"/>
  <c r="A7"/>
  <c r="K7"/>
  <c r="L7"/>
  <c r="A8"/>
  <c r="O8"/>
  <c r="P8"/>
  <c r="C1" i="9"/>
  <c r="B2"/>
  <c r="D2"/>
</calcChain>
</file>

<file path=xl/comments1.xml><?xml version="1.0" encoding="utf-8"?>
<comments xmlns="http://schemas.openxmlformats.org/spreadsheetml/2006/main">
  <authors>
    <author/>
  </authors>
  <commentList>
    <comment ref="M2" authorId="0">
      <text>
        <r>
          <rPr>
            <b/>
            <sz val="8"/>
            <color indexed="8"/>
            <rFont val="Nimbus Roman No9 L"/>
            <family val="1"/>
          </rPr>
          <t xml:space="preserve">Fritz Stahr:07 may 2006
Made changes to make easier and more clear to use. Added Ballast sheet with connections to both Trim sheet and Cal sheet. Added Pressure Sensor cal sheet directly here with connections to Cal sheet. Added Maintenance sheet to keep track of during build changes. Modified the Trim page to accomodate noted changes in weight of sub-assemblies. Changed top of page to interact with Ballast sheet better and to make explicit note of changes in trim weight location to get good pitch and roll gain. Russ' notes below are a good basic guide to the original intent of the sheet, but should not be taken too literally.
Russ Light: (~2001?)
</t>
        </r>
        <r>
          <rPr>
            <sz val="8"/>
            <color indexed="8"/>
            <rFont val="Nimbus Roman No9 L"/>
            <family val="1"/>
          </rPr>
          <t xml:space="preserve">There are two primary goals in achieve with the spreadsheet: 
    1) Trimming which involves getting neutral bouyancy
   2) Balancing which involves achieving zero LCB-LCG separation
Trimming the glider amounts to changing the weight value for the forward fairing trim weight until the Net Buoyancy value goes to zero.  The Internal Oil Stroke must also be set for the desired percentage to achieve mission conditions.  Thre stroke value determines the nuetral point of the VBD system and thus determines how much displacement is available for thrust and surface manuever.  Of these two values the bouyancy required for the surface maneuver is the most important.  The density of the surface water layer determines how much displacement in the external bladder will be required to achieve the proper antenna mast position for GPS and data telemetry.  In cases of extream fresh water conditions as much as 650cc were required in the external bladder to achieve the proper surface position.  Select the stroke percentage to give sufficient displacement for the surface maneuver.  Adjust the forward fairing trim lead to zero the Net Buoyancy.
To achieve the proper balance the LCB-LCG difference value is made to be zero.  After achieving neutral buoyancy in the above procedure the center of gravity can be adjusted by changing the Pitch Mass Stroke percentage. The ideal value for this percentage is probably between 50-75%.  The total throw of the pitch mass shifter is approx 15cm.  Typical glider operations only require 1-3cm of movement to acheive normal glide slopes.  By biasing the neutral point towards the aft more shift is provided for the surface manuever.
</t>
        </r>
        <r>
          <rPr>
            <b/>
            <sz val="8"/>
            <color indexed="8"/>
            <rFont val="Nimbus Roman No9 L"/>
            <family val="1"/>
          </rPr>
          <t xml:space="preserve">FROM THE VMG USER'S GUIDE
</t>
        </r>
        <r>
          <rPr>
            <sz val="8"/>
            <color indexed="8"/>
            <rFont val="Nimbus Roman No9 L"/>
            <family val="1"/>
          </rPr>
          <t xml:space="preserve">10.0  Trimming Procedure
This section outlines how to manipulate, or more generally, in what order to manipulate the VMG trim sheet. There is a specific trim sheet for every glider, and its maintenance and upkeep are a necessary and time-consuming task, especially with changes to the VM hardware.
The goal is to set the VM Variable Buoyancy Device (VBD) for a given range of expected seawater density so that the limited range of buoyancy control is sufficient to perform its mission.  After the vehicle is trimmed for neutral buoyancy at the expected density, it is then necessary to set the vehicle longitudinal pitch trim so that it floats level, with zero pitch, with sufficient remaining control over its pitch to dive and climb.
The range of seawater density determines how precisely the VM must be trimmed. Density ranges greater than 0.7 practical salinity units (psu) may reduce the amount of thrust available during a dive to less than 200 grams.  Such a density range will require exact laboratory trimming to avoid using some of the VBD volume for achieving neutral trim.
The volume at the surface defines the minimum positive buoyancy and provides a starting point for the calculations.  An estimate of the surface density (at an average depth of 0.5 to 1.0 meter) must be available for this calculation.  
With all the trim sheet weights and positions entered with utmost accuracy, we’re ready to set the final trim for a given density range expected.  Adjustments are generally left to modifying the amount and location of external hull trim lead, which is that lead carried, or taped, to the inside of the bottom of the fairing.
First we’ll set the overall buoyancy trim, then deal with the longitudinal pitch trim. Cell names in Italics represent actual cells in the spreadsheet.
Set Overall Buoyancy Trim
1) Set the VBD Internal Oil Stroke to 5%.  
This represents the near maximum displaced volume, leaving 5% margin for trim errors and/or lighter than expected surface density.
2) Set Density to the expected surface density (e.g. 1.018)
3) Adjust the external trim lead to yield about 275 grams (+/- 10) grams of Net Buoyancy.  This is required to elevate the present cellular phone/GPS antenna design to the maximum degree above the water.  Future designs may take more or less: it is a function solely of the displaced volume of the antenna assembly. 
4) Now set the Density to the expected seawater density at the apogee depth (e.g. 1.024).  This is the density where the VM trim neutral point is defined.  
5) Using the goal seek function of Microsoft EXCEL, or the hunt and peck method, determine the VBD internal oil gage setting to achieve neutral buoyancy at apogee.  Force the Net Buoyancy value to zero by adjusting the value of the Internal Oil Stroke.  Record this value of neutral trim in the calibration sheet (specifically the A/D value of VBD Position)
6) Observe the maximum obtainable negative buoyancy by setting the Internal Oil Stroke to 95%.  This is the maximum thrust available during a dive.  This should exceed that required for the mission as determined by expected currents or round trip dive times.
If this maximum thrust is much more than is likely needed or desired, it might be wise to repeat the process, but leaving more positive buoyancy available for surfacing in lighter than expected surface water density (e.g. 10% or 15% versus 5%).  
Set Vehicle Longitudinal Pitch Trim
7) With the VBD set at the neutral trim point as determined in step #5, and the Pitch Mass Stroke set to 50%, play with the XCG position of the Trim Lead, Main Hull.  Verify that there is position in the hull to accommodate the lead; this can be done in the big AutoCAD assembly drawing, #49800.  It will probably be needed to place the trim lead in the most advantageous position in the fairing, and achieve the final pitch trim using the Pitch Mass Stroke, to achieve a zero Vehicle Pitch Angle.  As done in step 5, record the Pitch Mass Position A/D value on the calibration sheet.  
Note that these two numbers, which define the neutral buoyancy and neutral pitch trim, are initial estimates only. Their values will surely be modified in the field based upon dive performance data.
</t>
        </r>
      </text>
    </comment>
    <comment ref="C18" authorId="0">
      <text>
        <r>
          <rPr>
            <sz val="8"/>
            <color indexed="8"/>
            <rFont val="Nimbus Roman No9 L"/>
            <family val="1"/>
          </rPr>
          <t xml:space="preserve">This should be either measured or predicted denstiy the density of water the glider will encounter, e.g., OSB tank, PS surface, PS deep, WA coast deep.
 </t>
        </r>
      </text>
    </comment>
    <comment ref="C19" authorId="0">
      <text>
        <r>
          <rPr>
            <b/>
            <sz val="8"/>
            <color indexed="8"/>
            <rFont val="Nimbus Roman No9 L"/>
            <family val="1"/>
          </rPr>
          <t>Fritz (07May06):
Minimum value for surface manuever is 150 cc so test by setting to density to lightest possible (e.g., 1.018 for PS) and then put oil reservoir to 5% to be sure it can do it.</t>
        </r>
      </text>
    </comment>
    <comment ref="B20" authorId="0">
      <text>
        <r>
          <rPr>
            <b/>
            <sz val="8"/>
            <color indexed="8"/>
            <rFont val="Nimbus Roman No9 L"/>
            <family val="1"/>
          </rPr>
          <t xml:space="preserve">Russ Light:
</t>
        </r>
        <r>
          <rPr>
            <sz val="8"/>
            <color indexed="8"/>
            <rFont val="Nimbus Roman No9 L"/>
            <family val="1"/>
          </rPr>
          <t>The percentage of oil in the internal bladder.  100% stroke means the internal bladder is full.
Since the spreadsheet is designed to be adjusted until neutral buoyancy is achieved this value is critical.  The user must weigh the issues of how much positive buoyancy is required at the surface for surface maneuver based on surface water density.  For fresh surface water conditions this can result in a lack of thrust range.  Very fresh water conditions found during Puget Sound testing in Possession Sound during the spring/summer required surface buoyance values from 600-650 cc.
In general the stoke is biased above 50% so that there is sufficient reserve for achieving enough positive buoyancy on the surface.</t>
        </r>
      </text>
    </comment>
    <comment ref="E20" authorId="0">
      <text>
        <r>
          <rPr>
            <sz val="8"/>
            <color indexed="8"/>
            <rFont val="Nimbus Roman No9 L"/>
            <family val="1"/>
          </rPr>
          <t xml:space="preserve">External Bladder Full = low AD = vehicle floats higher.
External Bladder Empty = high AD = vehicle sinks lower.
</t>
        </r>
      </text>
    </comment>
    <comment ref="B27" authorId="0">
      <text>
        <r>
          <rPr>
            <sz val="8"/>
            <color indexed="8"/>
            <rFont val="Nimbus Roman No9 L"/>
            <family val="1"/>
          </rPr>
          <t>Nominal is 70% so can pitch far forward during surface manuever, Max Stroke is 15.32 cm</t>
        </r>
      </text>
    </comment>
    <comment ref="E27" authorId="0">
      <text>
        <r>
          <rPr>
            <sz val="8"/>
            <color indexed="8"/>
            <rFont val="Nimbus Roman No9 L"/>
            <family val="1"/>
          </rPr>
          <t>Positive cm is aft = high AD.
Negative cm is fwd = low AD.</t>
        </r>
      </text>
    </comment>
    <comment ref="B35" authorId="0">
      <text>
        <r>
          <rPr>
            <b/>
            <sz val="8"/>
            <color indexed="8"/>
            <rFont val="Nimbus Roman No9 L"/>
            <family val="1"/>
          </rPr>
          <t xml:space="preserve">Jim Osse:
</t>
        </r>
        <r>
          <rPr>
            <sz val="8"/>
            <color indexed="8"/>
            <rFont val="Nimbus Roman No9 L"/>
            <family val="1"/>
          </rPr>
          <t>Itterates for roll by equating moment of battery against moment of hull VCG and hull VCB, must have itteration option ON</t>
        </r>
      </text>
    </comment>
    <comment ref="J38"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38"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F52" authorId="0">
      <text>
        <r>
          <rPr>
            <b/>
            <sz val="8"/>
            <color indexed="8"/>
            <rFont val="Nimbus Roman No9 L"/>
            <family val="1"/>
          </rPr>
          <t xml:space="preserve">Fritz Stahr:
</t>
        </r>
        <r>
          <rPr>
            <sz val="8"/>
            <color indexed="8"/>
            <rFont val="Nimbus Roman No9 L"/>
            <family val="1"/>
          </rPr>
          <t>determined by original all-up dry weight difference</t>
        </r>
      </text>
    </comment>
    <comment ref="G52" authorId="0">
      <text>
        <r>
          <rPr>
            <b/>
            <sz val="8"/>
            <color indexed="8"/>
            <rFont val="Nimbus Roman No9 L"/>
            <family val="1"/>
          </rPr>
          <t xml:space="preserve">Fritz Stahr:
</t>
        </r>
        <r>
          <rPr>
            <sz val="8"/>
            <color indexed="8"/>
            <rFont val="Nimbus Roman No9 L"/>
            <family val="1"/>
          </rPr>
          <t>adjusted to make pitch stroke for tank or regression work</t>
        </r>
      </text>
    </comment>
    <comment ref="J52" authorId="0">
      <text>
        <r>
          <rPr>
            <b/>
            <sz val="8"/>
            <color indexed="8"/>
            <rFont val="Nimbus Roman No9 L"/>
            <family val="1"/>
          </rPr>
          <t xml:space="preserve">Fritz Stahr:
</t>
        </r>
        <r>
          <rPr>
            <sz val="8"/>
            <color indexed="8"/>
            <rFont val="Nimbus Roman No9 L"/>
            <family val="1"/>
          </rPr>
          <t>set to make neutral observed in Port Susan show 0 net buoyancy</t>
        </r>
      </text>
    </comment>
    <comment ref="L52" authorId="0">
      <text>
        <r>
          <rPr>
            <b/>
            <sz val="8"/>
            <color indexed="8"/>
            <rFont val="Nimbus Roman No9 L"/>
            <family val="1"/>
          </rPr>
          <t xml:space="preserve">Fritz Stahr:
</t>
        </r>
        <r>
          <rPr>
            <sz val="8"/>
            <color indexed="8"/>
            <rFont val="Nimbus Roman No9 L"/>
            <family val="1"/>
          </rPr>
          <t>adjusted to make pitch center found in PS be zero</t>
        </r>
      </text>
    </comment>
    <comment ref="G62" authorId="0">
      <text>
        <r>
          <rPr>
            <sz val="8"/>
            <color indexed="8"/>
            <rFont val="Nimbus Roman No9 L"/>
            <family val="1"/>
          </rPr>
          <t>Fritz Stahr: 16may06
In orig trim sheets this changed from glider to glider and appeared to be calculated. Further, this # was also pasted into the xcg for the aft fairing. Replaced with Solidworks locations for xcg/b.</t>
        </r>
      </text>
    </comment>
    <comment ref="J62" authorId="0">
      <text>
        <r>
          <rPr>
            <b/>
            <sz val="8"/>
            <color indexed="8"/>
            <rFont val="Nimbus Roman No9 L"/>
            <family val="1"/>
          </rPr>
          <t xml:space="preserve">Russ Light:
</t>
        </r>
        <r>
          <rPr>
            <sz val="8"/>
            <color indexed="8"/>
            <rFont val="Nimbus Roman No9 L"/>
            <family val="1"/>
          </rPr>
          <t>Weighed fwd fairing (painted) with joint ring in air and in water:
Air Wt = 6603g
H20 Wt = 2595g
Diff = Vol = 4008cc
Using computed volumes of joint ring  fwd fairing volume is = 3686cc</t>
        </r>
      </text>
    </comment>
    <comment ref="G73" authorId="0">
      <text>
        <r>
          <rPr>
            <b/>
            <sz val="8"/>
            <color indexed="8"/>
            <rFont val="Nimbus Roman No9 L"/>
            <family val="1"/>
          </rPr>
          <t xml:space="preserve">Mike Johnson:
</t>
        </r>
        <r>
          <rPr>
            <sz val="8"/>
            <color indexed="8"/>
            <rFont val="Nimbus Roman No9 L"/>
            <family val="1"/>
          </rPr>
          <t xml:space="preserve">42.077" represents center of mass for lead attached dirrectly to pupa.  Lead is .377" further aft than lead taped to fairing
</t>
        </r>
      </text>
    </comment>
    <comment ref="G93" authorId="0">
      <text>
        <r>
          <rPr>
            <sz val="8"/>
            <color indexed="8"/>
            <rFont val="Nimbus Roman No9 L"/>
            <family val="1"/>
          </rPr>
          <t>Tom: 
MLW solidworks centroid-no parts included 8/8/2001: 54.15"
Jim: Orig ACAD estimate 35.20" total fairing; enter only for forward fairing
Fritz: trim sheets ahd been taking this from fwd fairing, I assume to represent the whole fairing, but now individual LCGs and LCBs</t>
        </r>
      </text>
    </comment>
    <comment ref="J95" authorId="0">
      <text>
        <r>
          <rPr>
            <b/>
            <sz val="8"/>
            <color indexed="8"/>
            <rFont val="Nimbus Roman No9 L"/>
            <family val="1"/>
          </rPr>
          <t xml:space="preserve">mike johnson:
</t>
        </r>
        <r>
          <rPr>
            <sz val="8"/>
            <color indexed="8"/>
            <rFont val="Nimbus Roman No9 L"/>
            <family val="1"/>
          </rPr>
          <t>Volume taken from Solidworks model 49838-A</t>
        </r>
      </text>
    </comment>
    <comment ref="J97" authorId="0">
      <text>
        <r>
          <rPr>
            <b/>
            <sz val="8"/>
            <color indexed="8"/>
            <rFont val="Nimbus Roman No9 L"/>
            <family val="1"/>
          </rPr>
          <t xml:space="preserve">mike johnson:
</t>
        </r>
        <r>
          <rPr>
            <sz val="8"/>
            <color indexed="8"/>
            <rFont val="Nimbus Roman No9 L"/>
            <family val="1"/>
          </rPr>
          <t>Volume taken from Solidworks model 49838-A</t>
        </r>
      </text>
    </comment>
    <comment ref="G108" authorId="0">
      <text>
        <r>
          <rPr>
            <b/>
            <sz val="10"/>
            <color indexed="8"/>
            <rFont val="Nimbus Roman No9 L"/>
          </rPr>
          <t xml:space="preserve">Mike Johnson:
9 July 2009
</t>
        </r>
        <r>
          <rPr>
            <sz val="10"/>
            <color indexed="8"/>
            <rFont val="Nimbus Roman No9 L"/>
          </rPr>
          <t>LCG computed from solidworks model.  Includes all components.
Standard 36" mast:  LCG = 81.305"
12" TTI mast:  LCG = 70.18"
12" TTI 2.0 mast (includes shorting plug and cable) LCG = 69.13"
17" TTI mast:  71.73"</t>
        </r>
      </text>
    </comment>
    <comment ref="J108" authorId="0">
      <text>
        <r>
          <rPr>
            <b/>
            <sz val="10"/>
            <color indexed="8"/>
            <rFont val="Nimbus Roman No9 L"/>
          </rPr>
          <t xml:space="preserve">mike johnson:
9 July 2009
</t>
        </r>
        <r>
          <rPr>
            <sz val="10"/>
            <color indexed="8"/>
            <rFont val="Nimbus Roman No9 L"/>
          </rPr>
          <t xml:space="preserve">Volume calculated with all components using solidworks models.  Includes all componets.
Standard 36" mast:  vol = 355.5cc
12" TTI mast:  vol = 357.8cc
12" TTI 2.0 mast (includes shorting plug and cable):  vol = 400.31cc
17" TTI mast:  vol = 385.6cc
</t>
        </r>
      </text>
    </comment>
    <comment ref="L108" authorId="0">
      <text>
        <r>
          <rPr>
            <b/>
            <sz val="8"/>
            <color indexed="8"/>
            <rFont val="Nimbus Roman No9 L"/>
            <family val="1"/>
          </rPr>
          <t xml:space="preserve">mike johnson:
</t>
        </r>
        <r>
          <rPr>
            <sz val="8"/>
            <color indexed="8"/>
            <rFont val="Nimbus Roman No9 L"/>
            <family val="1"/>
          </rPr>
          <t xml:space="preserve">1/29/2008
Assume same as LCG </t>
        </r>
      </text>
    </comment>
    <comment ref="G114" authorId="0">
      <text>
        <r>
          <rPr>
            <b/>
            <sz val="10"/>
            <color indexed="8"/>
            <rFont val="Nimbus Roman No9 L"/>
          </rPr>
          <t>mike johnson:
4 may 09
Assumed Argo beacon position same as Aanderaa optode</t>
        </r>
      </text>
    </comment>
    <comment ref="J114" authorId="0">
      <text>
        <r>
          <rPr>
            <b/>
            <sz val="10"/>
            <color indexed="8"/>
            <rFont val="Nimbus Roman No9 L"/>
          </rPr>
          <t xml:space="preserve">mike johnson:
4 may 09
Argo beacon vol = 120cc
Measured by Adam H.
290g (dry) and 170g (wet), aprox 120cc
</t>
        </r>
      </text>
    </comment>
    <comment ref="G119" authorId="0">
      <text>
        <r>
          <rPr>
            <b/>
            <sz val="10"/>
            <color indexed="8"/>
            <rFont val="Nimbus Roman No9 L"/>
          </rPr>
          <t>mike johnson:
9 july 09
Assumed Hydrophone position same as Aanderaa optode = 56.37"</t>
        </r>
      </text>
    </comment>
    <comment ref="J119" authorId="0">
      <text>
        <r>
          <rPr>
            <b/>
            <sz val="10"/>
            <color indexed="8"/>
            <rFont val="Nimbus Roman No9 L"/>
          </rPr>
          <t xml:space="preserve">mike johnson:
9 July 09
RAFOS Hydrophone vol = 52cc  (Fritz's WAG)
</t>
        </r>
      </text>
    </comment>
    <comment ref="G124" authorId="0">
      <text>
        <r>
          <rPr>
            <b/>
            <sz val="8"/>
            <color indexed="8"/>
            <rFont val="Nimbus Roman No9 L"/>
            <family val="1"/>
          </rPr>
          <t xml:space="preserve">mike johnson:
</t>
        </r>
        <r>
          <rPr>
            <sz val="8"/>
            <color indexed="8"/>
            <rFont val="Nimbus Roman No9 L"/>
            <family val="1"/>
          </rPr>
          <t>Distance for dual O2 aft fairing</t>
        </r>
      </text>
    </comment>
    <comment ref="J124" authorId="0">
      <text>
        <r>
          <rPr>
            <b/>
            <sz val="8"/>
            <color indexed="8"/>
            <rFont val="Nimbus Roman No9 L"/>
            <family val="1"/>
          </rPr>
          <t xml:space="preserve">mike johnson:
22 Jan 2008
Optode w/o cable = 81.1 cc
Optode w/ potted cable =  105.22 cc
</t>
        </r>
        <r>
          <rPr>
            <sz val="8"/>
            <color indexed="8"/>
            <rFont val="Nimbus Roman No9 L"/>
            <family val="1"/>
          </rPr>
          <t>Volume from solidworks part models</t>
        </r>
      </text>
    </comment>
    <comment ref="G129" authorId="0">
      <text>
        <r>
          <rPr>
            <b/>
            <sz val="8"/>
            <color indexed="8"/>
            <rFont val="Nimbus Roman No9 L"/>
            <family val="1"/>
          </rPr>
          <t xml:space="preserve">mike johnson:
</t>
        </r>
        <r>
          <rPr>
            <sz val="8"/>
            <color indexed="8"/>
            <rFont val="Nimbus Roman No9 L"/>
            <family val="1"/>
          </rPr>
          <t>Distance for single O2 aft fairing</t>
        </r>
      </text>
    </comment>
    <comment ref="J129" authorId="0">
      <text>
        <r>
          <rPr>
            <b/>
            <sz val="8"/>
            <color indexed="8"/>
            <rFont val="Nimbus Roman No9 L"/>
            <family val="1"/>
          </rPr>
          <t xml:space="preserve">mike johnson:
18 April 2008 
SBE43f = 164.47
</t>
        </r>
        <r>
          <rPr>
            <sz val="8"/>
            <color indexed="8"/>
            <rFont val="Nimbus Roman No9 L"/>
            <family val="1"/>
          </rPr>
          <t>Volume from solidworks models of sensor, plenum, and (2x) O2 clamps</t>
        </r>
      </text>
    </comment>
    <comment ref="J130" authorId="0">
      <text>
        <r>
          <rPr>
            <b/>
            <sz val="8"/>
            <color indexed="8"/>
            <rFont val="Nimbus Roman No9 L"/>
            <family val="1"/>
          </rPr>
          <t xml:space="preserve">mike johnson:
22 Jan 2008
24" IE55 cable = 29cc
</t>
        </r>
        <r>
          <rPr>
            <sz val="8"/>
            <color indexed="8"/>
            <rFont val="Nimbus Roman No9 L"/>
            <family val="1"/>
          </rPr>
          <t>Volume from solidwork part model</t>
        </r>
      </text>
    </comment>
    <comment ref="G136" authorId="0">
      <text>
        <r>
          <rPr>
            <b/>
            <sz val="8"/>
            <color indexed="8"/>
            <rFont val="Nimbus Roman No9 L"/>
            <family val="1"/>
          </rPr>
          <t xml:space="preserve">mike johnson:
</t>
        </r>
        <r>
          <rPr>
            <sz val="8"/>
            <color indexed="8"/>
            <rFont val="Nimbus Roman No9 L"/>
            <family val="1"/>
          </rPr>
          <t>Distance for PAR sensor</t>
        </r>
      </text>
    </comment>
    <comment ref="J136" authorId="0">
      <text>
        <r>
          <rPr>
            <b/>
            <sz val="8"/>
            <color indexed="8"/>
            <rFont val="Nimbus Roman No9 L"/>
            <family val="1"/>
          </rPr>
          <t xml:space="preserve">Mike Johnson
22 Jan 2008
PAR sensor = 303 cc
PAR clamp = 24.49 cc
PAR cable = 29 cc
Total vol = 357.32
</t>
        </r>
        <r>
          <rPr>
            <sz val="8"/>
            <color indexed="8"/>
            <rFont val="Nimbus Roman No9 L"/>
            <family val="1"/>
          </rPr>
          <t>Volume from solidworks part models of PAR sensor, clamp, and cable</t>
        </r>
      </text>
    </comment>
    <comment ref="G141" authorId="0">
      <text>
        <r>
          <rPr>
            <b/>
            <sz val="8"/>
            <color indexed="8"/>
            <rFont val="Nimbus Roman No9 L"/>
            <family val="1"/>
          </rPr>
          <t xml:space="preserve">mike johnson:
</t>
        </r>
        <r>
          <rPr>
            <sz val="8"/>
            <color indexed="8"/>
            <rFont val="Nimbus Roman No9 L"/>
            <family val="1"/>
          </rPr>
          <t>Distance for single WL aft fairing</t>
        </r>
      </text>
    </comment>
    <comment ref="J141" authorId="0">
      <text>
        <r>
          <rPr>
            <b/>
            <sz val="8"/>
            <color indexed="8"/>
            <rFont val="Nimbus Roman No9 L"/>
            <family val="1"/>
          </rPr>
          <t xml:space="preserve">Mike Johnson
22 Jan 2008
BB2F = 178.8cc
</t>
        </r>
        <r>
          <rPr>
            <sz val="8"/>
            <color indexed="8"/>
            <rFont val="Nimbus Roman No9 L"/>
            <family val="1"/>
          </rPr>
          <t>Volume from solidworks part models of WL BB2F and (2x)
sensor clamps</t>
        </r>
      </text>
    </comment>
    <comment ref="G147" authorId="0">
      <text>
        <r>
          <rPr>
            <b/>
            <sz val="8"/>
            <color indexed="8"/>
            <rFont val="Nimbus Roman No9 L"/>
            <family val="1"/>
          </rPr>
          <t xml:space="preserve">mike johnson:
</t>
        </r>
        <r>
          <rPr>
            <sz val="8"/>
            <color indexed="8"/>
            <rFont val="Nimbus Roman No9 L"/>
            <family val="1"/>
          </rPr>
          <t>Distance for single WL aft fairing</t>
        </r>
      </text>
    </comment>
    <comment ref="J147" authorId="0">
      <text>
        <r>
          <rPr>
            <sz val="10"/>
            <rFont val="Arial"/>
          </rPr>
          <t xml:space="preserve">
</t>
        </r>
        <r>
          <rPr>
            <b/>
            <sz val="8"/>
            <color indexed="8"/>
            <rFont val="Nimbus Roman No9 L"/>
            <family val="1"/>
          </rPr>
          <t xml:space="preserve">Mike Johnson
22 Jan 2008
BBFL2VMT  = 209.3 cc
</t>
        </r>
        <r>
          <rPr>
            <sz val="8"/>
            <color indexed="8"/>
            <rFont val="Nimbus Roman No9 L"/>
            <family val="1"/>
          </rPr>
          <t xml:space="preserve">Volume from solidworks part models of WL vmg and (2x)
sensor clamps
</t>
        </r>
        <r>
          <rPr>
            <b/>
            <sz val="8"/>
            <color indexed="8"/>
            <rFont val="Nimbus Roman No9 L"/>
            <family val="1"/>
          </rPr>
          <t xml:space="preserve">BBFL2VMT w/Sensor mount for PAR sensor configuration =  237.64 cc
</t>
        </r>
        <r>
          <rPr>
            <sz val="8"/>
            <color indexed="8"/>
            <rFont val="Nimbus Roman No9 L"/>
            <family val="1"/>
          </rPr>
          <t>Volume from solidworks part models of WL vmt and sensor clamp</t>
        </r>
      </text>
    </comment>
    <comment ref="J164" authorId="0">
      <text>
        <r>
          <rPr>
            <b/>
            <sz val="8"/>
            <color indexed="8"/>
            <rFont val="Nimbus Roman No9 L"/>
            <family val="1"/>
          </rPr>
          <t xml:space="preserve">mike johnson:
</t>
        </r>
        <r>
          <rPr>
            <sz val="8"/>
            <color indexed="8"/>
            <rFont val="Nimbus Roman No9 L"/>
            <family val="1"/>
          </rPr>
          <t>Calculated from OEM specs</t>
        </r>
      </text>
    </comment>
    <comment ref="C183" authorId="0">
      <text>
        <r>
          <rPr>
            <b/>
            <sz val="8"/>
            <color indexed="8"/>
            <rFont val="Nimbus Roman No9 L"/>
            <family val="1"/>
          </rPr>
          <t xml:space="preserve">mike johnson:
</t>
        </r>
        <r>
          <rPr>
            <sz val="8"/>
            <color indexed="8"/>
            <rFont val="Nimbus Roman No9 L"/>
            <family val="1"/>
          </rPr>
          <t>Variable oil removed from weight roll up.</t>
        </r>
      </text>
    </comment>
    <comment ref="J185" authorId="0">
      <text>
        <r>
          <rPr>
            <b/>
            <sz val="8"/>
            <color indexed="8"/>
            <rFont val="Nimbus Roman No9 L"/>
            <family val="1"/>
          </rPr>
          <t xml:space="preserve">mike johnson:
</t>
        </r>
        <r>
          <rPr>
            <sz val="8"/>
            <color indexed="8"/>
            <rFont val="Nimbus Roman No9 L"/>
            <family val="1"/>
          </rPr>
          <t>Volume taken from Solidworks model 49815-F.
Internal features / thru holes removed to create a solid part.</t>
        </r>
      </text>
    </comment>
    <comment ref="F211" authorId="0">
      <text>
        <r>
          <rPr>
            <sz val="8"/>
            <color indexed="8"/>
            <rFont val="Nimbus Roman No9 L"/>
            <family val="1"/>
          </rPr>
          <t>Includes Oil</t>
        </r>
      </text>
    </comment>
    <comment ref="J211" authorId="0">
      <text>
        <r>
          <rPr>
            <b/>
            <sz val="8"/>
            <color indexed="8"/>
            <rFont val="Nimbus Roman No9 L"/>
            <family val="1"/>
          </rPr>
          <t xml:space="preserve">Jim Osse:
</t>
        </r>
        <r>
          <rPr>
            <sz val="8"/>
            <color indexed="8"/>
            <rFont val="Nimbus Roman No9 L"/>
            <family val="1"/>
          </rPr>
          <t xml:space="preserve">incl vol of bladder at spec grav of 1.0
</t>
        </r>
      </text>
    </comment>
    <comment ref="J296"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296"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E301" authorId="0">
      <text>
        <r>
          <rPr>
            <b/>
            <sz val="10"/>
            <color indexed="8"/>
            <rFont val="Nimbus Roman No9 L"/>
          </rPr>
          <t xml:space="preserve">mike johnson:
</t>
        </r>
        <r>
          <rPr>
            <sz val="10"/>
            <color indexed="8"/>
            <rFont val="Nimbus Roman No9 L"/>
          </rPr>
          <t>9 july 2009
Movable battery cage componets (467g) + brass weight = Battery Enclosure</t>
        </r>
      </text>
    </comment>
    <comment ref="H321" authorId="0">
      <text>
        <r>
          <rPr>
            <b/>
            <sz val="8"/>
            <color indexed="8"/>
            <rFont val="Nimbus Roman No9 L"/>
            <family val="1"/>
          </rPr>
          <t xml:space="preserve">mike johnson:
</t>
        </r>
        <r>
          <rPr>
            <sz val="8"/>
            <color indexed="8"/>
            <rFont val="Nimbus Roman No9 L"/>
            <family val="1"/>
          </rPr>
          <t>Orig and Extended battery pack have same LCG</t>
        </r>
      </text>
    </comment>
  </commentList>
</comments>
</file>

<file path=xl/comments2.xml><?xml version="1.0" encoding="utf-8"?>
<comments xmlns="http://schemas.openxmlformats.org/spreadsheetml/2006/main">
  <authors>
    <author/>
    <author>rhughes</author>
  </authors>
  <commentList>
    <comment ref="B13" authorId="0">
      <text>
        <r>
          <rPr>
            <b/>
            <sz val="8"/>
            <color indexed="8"/>
            <rFont val="Nimbus Roman No9 L"/>
            <family val="1"/>
          </rPr>
          <t xml:space="preserve">Jim Osse:
</t>
        </r>
        <r>
          <rPr>
            <sz val="8"/>
            <color indexed="8"/>
            <rFont val="Nimbus Roman No9 L"/>
            <family val="1"/>
          </rPr>
          <t>0.672 gm/cc per Lehman test on 5/28/02 on wing#23</t>
        </r>
      </text>
    </comment>
    <comment ref="B17" authorId="1">
      <text>
        <r>
          <rPr>
            <b/>
            <sz val="9"/>
            <color indexed="81"/>
            <rFont val="Tahoma"/>
            <family val="2"/>
          </rPr>
          <t>rhughes:</t>
        </r>
        <r>
          <rPr>
            <sz val="9"/>
            <color indexed="81"/>
            <rFont val="Tahoma"/>
            <family val="2"/>
          </rPr>
          <t xml:space="preserve">
estimated with paint</t>
        </r>
      </text>
    </comment>
  </commentList>
</comments>
</file>

<file path=xl/sharedStrings.xml><?xml version="1.0" encoding="utf-8"?>
<sst xmlns="http://schemas.openxmlformats.org/spreadsheetml/2006/main" count="1192" uniqueCount="804">
  <si>
    <t>(all values fed from press-cal worksheet including date)</t>
  </si>
  <si>
    <t>Values from Pres Cal sht</t>
  </si>
  <si>
    <t>Manufacturer</t>
  </si>
  <si>
    <t>Model #</t>
  </si>
  <si>
    <t>Serial #</t>
  </si>
  <si>
    <t>Calibration date</t>
  </si>
  <si>
    <t>A/D Gain</t>
  </si>
  <si>
    <t>PSI = Slope *AD_Count + Y_Intercept</t>
  </si>
  <si>
    <t>Atmos @ cal.</t>
  </si>
  <si>
    <t>Temp @ cal.</t>
  </si>
  <si>
    <t>Psig/AD count</t>
  </si>
  <si>
    <t>Calibrated Slope</t>
  </si>
  <si>
    <t>(either PresCal-B64)</t>
  </si>
  <si>
    <t>Cal. Y-Intercept</t>
  </si>
  <si>
    <t>(Changed each time sensor set for “sealevel”)</t>
  </si>
  <si>
    <t>Depth Offset</t>
  </si>
  <si>
    <t>Meters</t>
  </si>
  <si>
    <t>Conversion Factor</t>
  </si>
  <si>
    <t>0.685 psig/meter</t>
  </si>
  <si>
    <t>Internal Pressure</t>
  </si>
  <si>
    <t>Initial psi:</t>
  </si>
  <si>
    <t>End psi:</t>
  </si>
  <si>
    <t>SP3004D</t>
    <phoneticPr fontId="63" type="noConversion"/>
  </si>
  <si>
    <t>K931</t>
    <phoneticPr fontId="63" type="noConversion"/>
  </si>
  <si>
    <t>Snug Calibration Date</t>
    <phoneticPr fontId="63" type="noConversion"/>
  </si>
  <si>
    <t>01520008</t>
    <phoneticPr fontId="63" type="noConversion"/>
  </si>
  <si>
    <t>2654</t>
    <phoneticPr fontId="63" type="noConversion"/>
  </si>
  <si>
    <t>1050-082-16</t>
  </si>
  <si>
    <t>1QH001107</t>
  </si>
  <si>
    <t>N/A</t>
    <phoneticPr fontId="63" type="noConversion"/>
  </si>
  <si>
    <t>233</t>
    <phoneticPr fontId="63" type="noConversion"/>
  </si>
  <si>
    <t>231</t>
    <phoneticPr fontId="63" type="noConversion"/>
  </si>
  <si>
    <t>Ver</t>
    <phoneticPr fontId="63" type="noConversion"/>
  </si>
  <si>
    <t>9/8</t>
    <phoneticPr fontId="63" type="noConversion"/>
  </si>
  <si>
    <t>300025010608750</t>
  </si>
  <si>
    <t>C02RGP</t>
    <phoneticPr fontId="63" type="noConversion"/>
  </si>
  <si>
    <t>UH</t>
  </si>
  <si>
    <t>phone #</t>
  </si>
  <si>
    <t>data #</t>
  </si>
  <si>
    <t>Installed</t>
    <phoneticPr fontId="63" type="noConversion"/>
  </si>
  <si>
    <t>FWD</t>
    <phoneticPr fontId="66" type="noConversion"/>
  </si>
  <si>
    <t>AFT</t>
    <phoneticPr fontId="66" type="noConversion"/>
  </si>
  <si>
    <t>BB2FL-VMT</t>
    <phoneticPr fontId="66" type="noConversion"/>
  </si>
  <si>
    <t>Cal Date</t>
  </si>
  <si>
    <t>650_dark</t>
    <phoneticPr fontId="66" type="noConversion"/>
  </si>
  <si>
    <t>scale</t>
    <phoneticPr fontId="66" type="noConversion"/>
  </si>
  <si>
    <t>chl_dark</t>
    <phoneticPr fontId="66" type="noConversion"/>
  </si>
  <si>
    <t>cdom_dark</t>
    <phoneticPr fontId="66" type="noConversion"/>
  </si>
  <si>
    <t>BB2FL-VMT</t>
    <phoneticPr fontId="63" type="noConversion"/>
  </si>
  <si>
    <t>xxx</t>
    <phoneticPr fontId="63" type="noConversion"/>
  </si>
  <si>
    <t>scale</t>
    <phoneticPr fontId="66" type="noConversion"/>
  </si>
  <si>
    <t>chl_dark</t>
    <phoneticPr fontId="66" type="noConversion"/>
  </si>
  <si>
    <t>Reply Frequency</t>
  </si>
  <si>
    <t>DIP switch settings</t>
  </si>
  <si>
    <t>(sw-1/sw-2)</t>
  </si>
  <si>
    <t>Iridium Modem</t>
  </si>
  <si>
    <t>jm</t>
    <phoneticPr fontId="63" type="noConversion"/>
  </si>
  <si>
    <t>39537g 2/21/13 jm</t>
    <phoneticPr fontId="63" type="noConversion"/>
  </si>
  <si>
    <t>7305 g 2/21/13 jm</t>
    <phoneticPr fontId="63" type="noConversion"/>
  </si>
  <si>
    <t>51859 g 2/21/13 jm</t>
    <phoneticPr fontId="63" type="noConversion"/>
  </si>
  <si>
    <t>AD counts</t>
  </si>
  <si>
    <t>Headroom, aft</t>
  </si>
  <si>
    <t>Hardware Limit (counts)</t>
  </si>
  <si>
    <t>Software Limit (counts)</t>
  </si>
  <si>
    <t>cm travel*</t>
  </si>
  <si>
    <t>Minimum (full forward)</t>
  </si>
  <si>
    <t>Maximum (full aft)</t>
  </si>
  <si>
    <t>Stroke Length</t>
  </si>
  <si>
    <t xml:space="preserve"> Pitch Center</t>
  </si>
  <si>
    <t>(as defined by $C_PITCH)</t>
  </si>
  <si>
    <t>cm full stroke:</t>
  </si>
  <si>
    <t>Conversion constant</t>
  </si>
  <si>
    <t>cm per AD</t>
  </si>
  <si>
    <t>($PITCH_CNV)</t>
  </si>
  <si>
    <t>(conversion inverse)</t>
  </si>
  <si>
    <t>AD per cm</t>
  </si>
  <si>
    <t>*equation</t>
  </si>
  <si>
    <t>cm = (AD –center)* conversion factor (cm/AD)</t>
  </si>
  <si>
    <t>(-) cm is fwd of center, (+) cm is aft of center</t>
  </si>
  <si>
    <t>Roll Mass</t>
  </si>
  <si>
    <t>Headroom</t>
  </si>
  <si>
    <t>degrees roll*</t>
  </si>
  <si>
    <t>Full roll to port</t>
  </si>
  <si>
    <t>Full roll to starboard</t>
  </si>
  <si>
    <t>Dive Roll Center</t>
  </si>
  <si>
    <t>($C_ROLL_DIVE)</t>
  </si>
  <si>
    <t>Climb Roll Center</t>
  </si>
  <si>
    <t>($C_ROLL_CLIMB)</t>
  </si>
  <si>
    <t>degree per AD</t>
  </si>
  <si>
    <t>($ROLL_CONV)</t>
  </si>
  <si>
    <t>AD per degree</t>
  </si>
  <si>
    <t>*Equation:</t>
  </si>
  <si>
    <t>deg=(AD-center) * conversion factor</t>
  </si>
  <si>
    <t>Variable Buoyancy Drive (VBD)</t>
  </si>
  <si>
    <t>LeDuc Pump SN</t>
  </si>
  <si>
    <t>(short shaft SN)</t>
  </si>
  <si>
    <t>Boost Pump SN</t>
  </si>
  <si>
    <t>cm3 (cc) oil*</t>
  </si>
  <si>
    <t>$VBD_Min (Ext Bladder full)</t>
  </si>
  <si>
    <t>$VBD_Max (Ext Bladder empty)</t>
  </si>
  <si>
    <t>Total movable oil volume</t>
  </si>
  <si>
    <t>Neutral Trim (from Ballast sheet)</t>
  </si>
  <si>
    <t xml:space="preserve"> cm per cc</t>
  </si>
  <si>
    <t xml:space="preserve">Pitch &amp; Roll Trim </t>
  </si>
  <si>
    <t>Longitudinal CG</t>
  </si>
  <si>
    <t>cm</t>
  </si>
  <si>
    <t>inches</t>
  </si>
  <si>
    <t>Longitudinal CB</t>
  </si>
  <si>
    <t>LCB-LCG Separation</t>
  </si>
  <si>
    <t>650_dark</t>
    <phoneticPr fontId="66" type="noConversion"/>
  </si>
  <si>
    <t>650_scale</t>
    <phoneticPr fontId="66" type="noConversion"/>
  </si>
  <si>
    <t>jm</t>
    <phoneticPr fontId="63" type="noConversion"/>
  </si>
  <si>
    <t>Ocean</t>
    <phoneticPr fontId="63" type="noConversion"/>
  </si>
  <si>
    <t>from where and date??</t>
  </si>
  <si>
    <t>from what stage and date??</t>
  </si>
  <si>
    <t>Where are you going to fly ???</t>
  </si>
  <si>
    <t>What density do you want???</t>
  </si>
  <si>
    <t>MS</t>
  </si>
  <si>
    <t>From Dartmouth Regression xx/xx/2011 (edit this value on the Trim Tab)</t>
  </si>
  <si>
    <t>Duraform PA w/ Paint</t>
  </si>
  <si>
    <t>Duraform PA</t>
  </si>
  <si>
    <t>syntactic foam density</t>
  </si>
  <si>
    <t>Urethane</t>
  </si>
  <si>
    <t>Delrin 150</t>
  </si>
  <si>
    <t>HDPE</t>
  </si>
  <si>
    <t>rev 66.06/214 Sep 29 2010 14:02:19</t>
  </si>
  <si>
    <t>JM</t>
    <phoneticPr fontId="63" type="noConversion"/>
  </si>
  <si>
    <t>x</t>
    <phoneticPr fontId="63" type="noConversion"/>
  </si>
  <si>
    <t>x</t>
    <phoneticPr fontId="63" type="noConversion"/>
  </si>
  <si>
    <t>-</t>
    <phoneticPr fontId="63" type="noConversion"/>
  </si>
  <si>
    <t>($C_VBD for neutral)</t>
  </si>
  <si>
    <t>(nomially 0 at spec rho)</t>
  </si>
  <si>
    <t>cc per AD</t>
  </si>
  <si>
    <t>$VBD_CNV</t>
  </si>
  <si>
    <t>AD per cc</t>
  </si>
  <si>
    <t>*equation:</t>
  </si>
  <si>
    <t>cc oil=(AD@neutral trim)* conv. factor (cc/counts)</t>
  </si>
  <si>
    <t>(1 cc oil = 1.025 g buoyancy)</t>
  </si>
  <si>
    <t>Pressure Sensor</t>
  </si>
  <si>
    <t>Serial Number</t>
  </si>
  <si>
    <t>Compass SW version #</t>
  </si>
  <si>
    <t>Compass carier PCB</t>
  </si>
  <si>
    <t>TCM2MAT file creation date</t>
  </si>
  <si>
    <t>Main Board</t>
  </si>
  <si>
    <t>Mainboard Revision</t>
  </si>
  <si>
    <t>B.4</t>
  </si>
  <si>
    <t>Mainboard Serial Number</t>
  </si>
  <si>
    <t>Computer Type</t>
  </si>
  <si>
    <t>TT8</t>
  </si>
  <si>
    <t>Onset Computers</t>
  </si>
  <si>
    <t>Computer Serial Number</t>
  </si>
  <si>
    <t>Disk system</t>
  </si>
  <si>
    <t>CF8V2</t>
  </si>
  <si>
    <t>Persistor Corp.</t>
  </si>
  <si>
    <t>Compact Flash Card Manu.</t>
  </si>
  <si>
    <t xml:space="preserve">Silicon Systems  </t>
  </si>
  <si>
    <t>CF card size</t>
  </si>
  <si>
    <t>256 MB</t>
  </si>
  <si>
    <t>CF card  serial/ID #</t>
  </si>
  <si>
    <t>SSD-C25MI-3005</t>
  </si>
  <si>
    <t>Watchdog (PIC) setting (min)</t>
  </si>
  <si>
    <t>10 min</t>
  </si>
  <si>
    <t>(10min = dips 2&amp;4 on)</t>
  </si>
  <si>
    <t>OEM Board &amp; Sub-systems</t>
  </si>
  <si>
    <t>GPS Manufacturer</t>
  </si>
  <si>
    <t>Garmin</t>
  </si>
  <si>
    <t>GPS Model Number</t>
  </si>
  <si>
    <t>15H-W</t>
  </si>
  <si>
    <t>GPS Serial Number</t>
  </si>
  <si>
    <t>GPSI Antenna SN</t>
  </si>
  <si>
    <t>DC-DC converter SN</t>
  </si>
  <si>
    <t>-</t>
  </si>
  <si>
    <t>Transducer Manu.</t>
  </si>
  <si>
    <t>ITC</t>
  </si>
  <si>
    <t>Transducer Model</t>
  </si>
  <si>
    <t>Transducer SN</t>
  </si>
  <si>
    <t>Acoustic Transponder</t>
  </si>
  <si>
    <t>AAE</t>
  </si>
  <si>
    <t>Model</t>
  </si>
  <si>
    <t>Main-board SN</t>
  </si>
  <si>
    <t>Sub-board SN</t>
  </si>
  <si>
    <t>AAE software ver #</t>
  </si>
  <si>
    <t>Interrogate Frequency</t>
  </si>
  <si>
    <t>KHz</t>
  </si>
  <si>
    <t>55473 / 55253</t>
  </si>
  <si>
    <t>Assy., Lead Ballast</t>
  </si>
  <si>
    <t>Trim Lead .600" aft of pupa joint ring - bottom (5" strip)</t>
  </si>
  <si>
    <t>EPDM base (5"x6") + (2x) 2"x 6" tape - bottom</t>
  </si>
  <si>
    <t>Trim Lead .600" aft of pupa joint ring - port side (5" strip)</t>
  </si>
  <si>
    <t>EPDM base (5"x6") + (2x) 2"x 6" tape - port</t>
  </si>
  <si>
    <t>NAL A3LA-XL</t>
  </si>
  <si>
    <t>IMEI Number</t>
  </si>
  <si>
    <t>Modem SN:</t>
  </si>
  <si>
    <t>SIM Card Owner</t>
  </si>
  <si>
    <t>SIM Card SN</t>
  </si>
  <si>
    <t>SBE C and T Sensors</t>
  </si>
  <si>
    <t>Sail SN</t>
  </si>
  <si>
    <t>Temp PCB SN</t>
  </si>
  <si>
    <t>Cond PCB SN</t>
  </si>
  <si>
    <t>SBE Calibration date:</t>
  </si>
  <si>
    <t>Conductivity Calibration Coefficients</t>
  </si>
  <si>
    <t>Temperature Calibration Coefficients</t>
  </si>
  <si>
    <t>g =</t>
  </si>
  <si>
    <t>h =</t>
  </si>
  <si>
    <t>i =</t>
  </si>
  <si>
    <t>j =</t>
  </si>
  <si>
    <t>Cpcor (nom) =</t>
  </si>
  <si>
    <t>f0 =</t>
  </si>
  <si>
    <t>Ctcor (nom) =</t>
  </si>
  <si>
    <t>Optical Sensor(s)</t>
  </si>
  <si>
    <t xml:space="preserve">   </t>
  </si>
  <si>
    <t>WET Labs</t>
  </si>
  <si>
    <t xml:space="preserve"> </t>
  </si>
  <si>
    <t>Cal date</t>
  </si>
  <si>
    <t>Dissolved Oxygen Sensor</t>
  </si>
  <si>
    <t>Aanderaa</t>
  </si>
  <si>
    <t>Oxygen Optode 4330</t>
  </si>
  <si>
    <t>SBE</t>
  </si>
  <si>
    <t>SBE43f</t>
  </si>
  <si>
    <t>Sea-Bird 43f coefficients</t>
  </si>
  <si>
    <t xml:space="preserve">Soc = </t>
  </si>
  <si>
    <t>Boc =</t>
  </si>
  <si>
    <t>Tcor =</t>
  </si>
  <si>
    <t>Pcor =</t>
  </si>
  <si>
    <t>Calibration Sheet for SEAGLIDER</t>
  </si>
  <si>
    <t>Serial No.</t>
  </si>
  <si>
    <t>Date:</t>
  </si>
  <si>
    <t>(master to all sheets)</t>
  </si>
  <si>
    <t>Time:</t>
  </si>
  <si>
    <t>Software Revision</t>
  </si>
  <si>
    <t>Last updated</t>
  </si>
  <si>
    <t>Pitch Mass</t>
  </si>
  <si>
    <t>Headroom, fwd</t>
  </si>
  <si>
    <t>Enter data only where font is RED</t>
  </si>
  <si>
    <t>Aft fairing assy scale wt:</t>
  </si>
  <si>
    <t>Density Trim</t>
  </si>
  <si>
    <t>Fairing screws scale wt:</t>
  </si>
  <si>
    <t>Total Weight (in air), summed items, corrected</t>
  </si>
  <si>
    <t>gm</t>
  </si>
  <si>
    <t>Pupa assy w/lead scale wt:</t>
  </si>
  <si>
    <t>Total Scale Weight</t>
  </si>
  <si>
    <t>Total glider wt by assy scale wts:</t>
  </si>
  <si>
    <t>Weight difference/"error"</t>
  </si>
  <si>
    <t>Actual</t>
  </si>
  <si>
    <t>Variable wt, including nose-wt-plates</t>
  </si>
  <si>
    <t>diff</t>
  </si>
  <si>
    <t>Displaced Volume, measured in tank</t>
  </si>
  <si>
    <t>cc</t>
  </si>
  <si>
    <t>see Ballast worksheet for more volume details</t>
  </si>
  <si>
    <t>Displaced Volume, summed items</t>
  </si>
  <si>
    <t>Water Density</t>
  </si>
  <si>
    <t>gm/cc</t>
  </si>
  <si>
    <t>Net Buoyancy (relative to neutral, positive floats, no thrust)</t>
  </si>
  <si>
    <t>predicted using this spreadsheet, actual may vary!</t>
  </si>
  <si>
    <t>Internal Oil Stroke (100% is all inside, ext. bladder empty)</t>
  </si>
  <si>
    <t>A/D counts</t>
  </si>
  <si>
    <t>(input %, not counts)</t>
  </si>
  <si>
    <t>($PITCH_VBD_SHIFT)</t>
  </si>
  <si>
    <t>O2 Sensor Cable Assembly</t>
  </si>
  <si>
    <t>Plug assy, SBE 43f plenum</t>
  </si>
  <si>
    <t>Assy., PAR Sensor</t>
  </si>
  <si>
    <t>PAR sensor with mounting bracket and screws</t>
  </si>
  <si>
    <t>Assy., WET Labs Optical - BB2F-VMG</t>
  </si>
  <si>
    <t>Wet Labs sensor Assy. (WL BB2F-VMG sensor, (2x) sensor clamp, (2x) 8-32 x 5/8 FHMS - sensor clamp to fairing)</t>
  </si>
  <si>
    <t>52296 / 52312 / 55245</t>
  </si>
  <si>
    <t>Cover, WL sensor used in shipping</t>
  </si>
  <si>
    <t>55520</t>
  </si>
  <si>
    <t>Assy., WET Labs Optical - BBFL2VMT</t>
  </si>
  <si>
    <t>Pitch-mass Stroke (100% is fully aft, nominal is 70%)</t>
  </si>
  <si>
    <t>Pitch-mass (batt) Location</t>
  </si>
  <si>
    <t>Vehicle Pitch Angle (positive is nose up)</t>
  </si>
  <si>
    <t>deg</t>
  </si>
  <si>
    <t>(goal is change of ~28 deg per cm travel, use goal-seek on Location by +/-1cm to test)</t>
  </si>
  <si>
    <t>Vertical CG (VCG)</t>
  </si>
  <si>
    <t>(goal is ~ -0.45 from prior builds)</t>
  </si>
  <si>
    <t>Computed VCB</t>
  </si>
  <si>
    <t>(goal is ~0.07 from prior builds)</t>
  </si>
  <si>
    <t>VCB-VCG Separation</t>
  </si>
  <si>
    <t>(goal is ~0.53 from prior builds)</t>
  </si>
  <si>
    <t>Roll-mass (batt) Angle</t>
  </si>
  <si>
    <t>Vehicle Roll Angle</t>
  </si>
  <si>
    <t>(goal is 20 deg Vehicle roll per 40 deg Battery Roll, but eqn had circular reference, now repl w/"20")</t>
  </si>
  <si>
    <t>Total</t>
  </si>
  <si>
    <t>Moment</t>
  </si>
  <si>
    <t>Assy.</t>
  </si>
  <si>
    <t>Part #</t>
  </si>
  <si>
    <t>Qty</t>
  </si>
  <si>
    <t>Initial RH:</t>
  </si>
  <si>
    <t>End RH:</t>
  </si>
  <si>
    <t>Compass</t>
  </si>
  <si>
    <t>Manufactuer</t>
  </si>
  <si>
    <t>Sparton</t>
  </si>
  <si>
    <t>Model number</t>
  </si>
  <si>
    <t>Total weights and volume - Flying SG - without adjustment</t>
  </si>
  <si>
    <t>Adjustment to reflect trims found in tank &amp; Port Susan</t>
  </si>
  <si>
    <t>Total weights and volume - Flying SG - adjusted, reported above</t>
  </si>
  <si>
    <t>Flying Seaglider</t>
  </si>
  <si>
    <t>(8x) 10-32 x 3/8 FHMS, joint ring to aft fairing</t>
  </si>
  <si>
    <t>(8x) 1/4-28 x 1/2 FHMS, Aft fairing to endcap</t>
  </si>
  <si>
    <t>Assy, Forward Fairing</t>
  </si>
  <si>
    <t>Subtotal Weight</t>
  </si>
  <si>
    <t>Forward Fairing</t>
  </si>
  <si>
    <t>Joint Ring, Fwd to Aft Fairing (bonded to fwd fairing before paint;  Long ring = 875g, short ring 688g )</t>
  </si>
  <si>
    <t>Nose weight (bonded to fwd fairing after paint)</t>
  </si>
  <si>
    <t>Nose weight plates</t>
  </si>
  <si>
    <t>(2x) 1/4-20 x 2" SHCS + 1/4 LW  brass, nose plate to nose base (4 - 5 plates) -= 28.5</t>
  </si>
  <si>
    <t>55186 / 55253</t>
  </si>
  <si>
    <t>(2x) 1/4-20 x 1.5" SHCS + 1/4 LW  brass, nose plate to nose base (2 -3 plates)</t>
  </si>
  <si>
    <t>55185 / 55253</t>
  </si>
  <si>
    <t>(2x) 1/4-20 x .75" SHCS + 1/4 LW  brass, nose plate to nose base (1 plate)</t>
  </si>
  <si>
    <t>Adaptor, Male, 1/8 NPT x 1/4 M, SS</t>
  </si>
  <si>
    <t>52430</t>
  </si>
  <si>
    <t>Branch Tee, Male, 1/4 tube x 1/8 NPT x 1/4 tube, alum</t>
  </si>
  <si>
    <t>52433</t>
  </si>
  <si>
    <t>Tubing, 1/4 DIA x 8"</t>
  </si>
  <si>
    <t>52419</t>
  </si>
  <si>
    <t>Tubing, 1/4 Dia x 6.0"</t>
  </si>
  <si>
    <t>Check Valve, Kepner 204 A-1</t>
  </si>
  <si>
    <t>52448</t>
  </si>
  <si>
    <t>Union Elbow, Male, 1/4 tube x 1/4 tube, alum</t>
  </si>
  <si>
    <t>52435</t>
  </si>
  <si>
    <t>Tubing, 1/4 DIA x 9.625"</t>
  </si>
  <si>
    <t>Run Tee, Male,1/4 tube x 1/4 tube x 1/8 NPT, alum</t>
  </si>
  <si>
    <t>52428</t>
  </si>
  <si>
    <t>Trim Lead .600" aft of pupa joint ring - starboard side (5" strip)</t>
  </si>
  <si>
    <t>EPDM base (5"x6") + (2x) 2"x 6" tape - starboard</t>
  </si>
  <si>
    <t>Trim Lead .600" aft of pupa joint ring - top (5" strip)</t>
  </si>
  <si>
    <t>EPDM base (5"x6") + (2x) 2"x 6" tape - top</t>
  </si>
  <si>
    <t>All trim lead tape btwn lead &amp; EPDM (~1.5 g per strip)</t>
  </si>
  <si>
    <t>(2) band-straps cut to length (start w/ 34g &amp; subtract cut amt.)</t>
  </si>
  <si>
    <t xml:space="preserve">(2) wraps 2x around black elec tape for security </t>
  </si>
  <si>
    <t>Trim Lead 1.000" fwd of bulkhead - bottom (5" strip)</t>
  </si>
  <si>
    <t>EPDM base (5"x3")</t>
  </si>
  <si>
    <t>Foffset=</t>
  </si>
  <si>
    <t>A=</t>
  </si>
  <si>
    <t>B=</t>
  </si>
  <si>
    <t>C=</t>
  </si>
  <si>
    <t>E=</t>
  </si>
  <si>
    <t>Tau20=</t>
  </si>
  <si>
    <t>SEAGLIDER - Trim and Balance</t>
  </si>
  <si>
    <t>SG</t>
  </si>
  <si>
    <t>Spreadsheet Usage Notes from Russ Light</t>
  </si>
  <si>
    <t xml:space="preserve">Comments: </t>
  </si>
  <si>
    <t>Fwd Fairing assy scale wt:</t>
  </si>
  <si>
    <t>Rudder</t>
  </si>
  <si>
    <t>(2x) 1/4-20 x 2" FHMS, rudder to rudder shoe</t>
  </si>
  <si>
    <t>Top panel</t>
  </si>
  <si>
    <t>Bottom panel</t>
  </si>
  <si>
    <t xml:space="preserve">Panel screws - (18) FHMS 6-32 x .375 </t>
  </si>
  <si>
    <t>Assy.,  Antenna</t>
  </si>
  <si>
    <t>Antenna Assembly GPSI (All parts)</t>
  </si>
  <si>
    <t>52336 / 52341 / 52454 / 52476 / 55361</t>
  </si>
  <si>
    <t>Cap (DGO protector during build - do not weigh)</t>
  </si>
  <si>
    <t>NA</t>
  </si>
  <si>
    <t>Assy.,  Argo Beacon</t>
  </si>
  <si>
    <t>Argo beacon + double stick tape</t>
  </si>
  <si>
    <t>Assy.,  RAFOS Hydrophone</t>
  </si>
  <si>
    <t>Hydrophone  + double stick tape</t>
  </si>
  <si>
    <t>Assy., Aanderaa Optode Oxygen Sensor</t>
  </si>
  <si>
    <t>O2 Sensor Assy. (Aanderaa optode, mount base, SS hose clamp, (2x) 8-32 x 5/8 FHMS, (2x) 8-32 nylok)</t>
  </si>
  <si>
    <t>52220 / 52485 / 52486 / 55239 / 55321</t>
  </si>
  <si>
    <t>Assy., SBE 43f Oxygen Sensor</t>
  </si>
  <si>
    <t>O2 Sensor Assy. (O2 sensor, Plenum, (2x) 6-32 x 5/8 SHCS - plenum to sensor,  (2x) O2 Clamp, (4x) 6-32 x 5/8 FHMS - Clamp to aft fairing</t>
  </si>
  <si>
    <t>52356 / 52501 / 55214 / 52311 / 55210</t>
  </si>
  <si>
    <t>(2x) M2 x 6 FHMS, motor to bracket</t>
  </si>
  <si>
    <t>55203</t>
  </si>
  <si>
    <t>Magnet Rotor Housing</t>
  </si>
  <si>
    <t>52457</t>
  </si>
  <si>
    <t>(4x) 6-32 x 1/4 PHMS, bracket to housing</t>
  </si>
  <si>
    <t>55209</t>
  </si>
  <si>
    <t>Rotary Magnet</t>
  </si>
  <si>
    <t>52455</t>
  </si>
  <si>
    <t xml:space="preserve">Pumphead, Micropump + mounting plate + (3x) 4-40 x 3/8 FHMS  </t>
  </si>
  <si>
    <t>52360 / 52456 / 55229</t>
  </si>
  <si>
    <t>(4x) 4-40 x 3/16 SHCS + #4 LW, housing to flange</t>
  </si>
  <si>
    <t>55296 / 55233</t>
  </si>
  <si>
    <t>(2x) Elbow, 1/8 npt x 1/4 tube, alum</t>
  </si>
  <si>
    <t>Wet Labs sensor Assy. (WL Triplet sensor, (2x) Wet labs sensor clamp, (2x) 8-32 x 5/8 FHMS - sensor clamp to fairing)</t>
  </si>
  <si>
    <t>55381/ 52312 / 55245</t>
  </si>
  <si>
    <t>Assy., Pupa</t>
  </si>
  <si>
    <t>Complete pupae volume - sum this sheet</t>
  </si>
  <si>
    <t>Position B (Opt O2):  IE55 dummy plug</t>
  </si>
  <si>
    <t>55309</t>
  </si>
  <si>
    <t>Position C (WL-1):  IE55 dummy plug</t>
  </si>
  <si>
    <t>Position D (SBE O2):  IE55 dummy plug</t>
  </si>
  <si>
    <t>Position E (WL-2):  IE55 dummy plug</t>
  </si>
  <si>
    <t>Weight</t>
  </si>
  <si>
    <t>LCG</t>
  </si>
  <si>
    <t>Volume</t>
  </si>
  <si>
    <t>Total Vol</t>
  </si>
  <si>
    <t>LCB</t>
  </si>
  <si>
    <t>VCG&amp;B</t>
  </si>
  <si>
    <t>VCG</t>
  </si>
  <si>
    <t>VCB</t>
  </si>
  <si>
    <t>Assy. Level</t>
  </si>
  <si>
    <t>Description</t>
  </si>
  <si>
    <t>(or Assy Wt)</t>
  </si>
  <si>
    <t>grams</t>
  </si>
  <si>
    <t>inch</t>
  </si>
  <si>
    <t>gm-cm</t>
  </si>
  <si>
    <t>cc-cm</t>
  </si>
  <si>
    <t xml:space="preserve">Complete fairing &amp; antenna </t>
  </si>
  <si>
    <t>Subtotal (summed) Weight</t>
  </si>
  <si>
    <t>Scale Weight</t>
  </si>
  <si>
    <t>Summed volume</t>
  </si>
  <si>
    <t>sum-diff's</t>
  </si>
  <si>
    <t>Complete pupa</t>
  </si>
  <si>
    <t>55183 / 55217 / 55214 / 49884</t>
  </si>
  <si>
    <t>O-Ring, E70-270,  Bulkhead to batt. hull</t>
  </si>
  <si>
    <t>(2x) 6-32 x 1/2 SHCS w/ LW + (6x) 6-32 x 5/8 with zincs, bulkhead to battery hull</t>
  </si>
  <si>
    <t>(4x) 6-32 x 1/2 SHCS + #6 LW, rails to bulkhead</t>
  </si>
  <si>
    <t>55183 / 55217</t>
  </si>
  <si>
    <t>O-Ring, E70-263, elec hull to bulkhead</t>
  </si>
  <si>
    <t>(8x) 6-32 x 1/2 SHCS + #6 LW, elec hull to bulkhead</t>
  </si>
  <si>
    <t>Assy., Aft Endcap</t>
  </si>
  <si>
    <t>Hydraulic oil:                                                               End Cap Without Oil</t>
  </si>
  <si>
    <t xml:space="preserve"> End Cap With Oil</t>
  </si>
  <si>
    <t>Oil Added To System</t>
  </si>
  <si>
    <t>Volume of Oil In System</t>
  </si>
  <si>
    <t>Assy., Hydraulics drive system</t>
  </si>
  <si>
    <t>Endcap, Aft</t>
  </si>
  <si>
    <t>49815</t>
  </si>
  <si>
    <t>(2x) Roll pin, 5/32 OD x 3/8, Pump anti rotation</t>
  </si>
  <si>
    <t>Connector, Male, 1/8 NPT x 1/4 tube, alum</t>
  </si>
  <si>
    <t>52432</t>
  </si>
  <si>
    <t>Connector, Male, 1/8 NPT x 1/4 tube, SS</t>
  </si>
  <si>
    <t>55506</t>
  </si>
  <si>
    <t>Assy, Solenoid Valve, Skinner</t>
  </si>
  <si>
    <t>52254</t>
  </si>
  <si>
    <t>aft endcap electronic parts - mount with CT sail</t>
  </si>
  <si>
    <t xml:space="preserve">Aft Terminal PCB </t>
  </si>
  <si>
    <t>55302</t>
  </si>
  <si>
    <t>SBE Conductivity PCB (included with sensors)</t>
  </si>
  <si>
    <t>Conductivity, PCB jumper, CA W26</t>
  </si>
  <si>
    <t>Shield, Radiation, C PCB + (4x) 2-56 x 1/4 BHCS</t>
  </si>
  <si>
    <t>49887 / 55221</t>
  </si>
  <si>
    <t>SBE Temperature PCB (included with sensors)</t>
  </si>
  <si>
    <t>Temperature, PCB jumper, CA W25</t>
  </si>
  <si>
    <t>Shield, Radiation, T PCB + (4x) 2-56 x 1/4 BHCS</t>
  </si>
  <si>
    <t>52371 / 55221</t>
  </si>
  <si>
    <t>Tubing, 1/4 Dia x 4.375"</t>
  </si>
  <si>
    <t>Seal Washer</t>
  </si>
  <si>
    <t>LeDuc Output Screw</t>
  </si>
  <si>
    <t>Hydraulic Pump, LeDuc</t>
  </si>
  <si>
    <t>52348</t>
  </si>
  <si>
    <t>Hydraulic endcap</t>
  </si>
  <si>
    <t>Ball Bearing, 8mm ID x 16mm OD</t>
  </si>
  <si>
    <t>52459</t>
  </si>
  <si>
    <t>O-Ring, N70-032, hydraulic endcap</t>
  </si>
  <si>
    <t>52407</t>
  </si>
  <si>
    <t>Connector, Male, 1/16 NPT x 1/8 tube, brass</t>
  </si>
  <si>
    <t>52436</t>
  </si>
  <si>
    <t>Tubing, 1/8 Dia. X 10.5"</t>
  </si>
  <si>
    <t>52418</t>
  </si>
  <si>
    <t>Magnetic Seal</t>
  </si>
  <si>
    <t>52353</t>
  </si>
  <si>
    <t>(6x) 6-32 x 1/2 SHCS + #6 LW, hydraulic encap to encap</t>
  </si>
  <si>
    <t>Strap - cut to length (start at 17g, subtract trimmed) &amp; tape</t>
  </si>
  <si>
    <t>lead goal</t>
  </si>
  <si>
    <t>currently at</t>
  </si>
  <si>
    <t>Assy., Aft Fairing</t>
  </si>
  <si>
    <t>Aft Fairing - with cutouts for panel</t>
  </si>
  <si>
    <t>56972</t>
  </si>
  <si>
    <t>Wing, Starboard (1m)</t>
  </si>
  <si>
    <t>Wing, Starboard (1.5m)</t>
  </si>
  <si>
    <t>Wing, Port  (1 m)</t>
  </si>
  <si>
    <t>Wing, Port  (1.5 m)</t>
  </si>
  <si>
    <t>(16x) 6-32 x 3/8 FHMS, wings to fairing</t>
  </si>
  <si>
    <t>Position F (WL-3):  IE55 w/ o-ring</t>
  </si>
  <si>
    <t>Position G (?):  IE55 w/ o-ring</t>
  </si>
  <si>
    <t>Position H (?):  IE55 w/ o-ring</t>
  </si>
  <si>
    <t>Position I (?):  IE55 w/ o-ring</t>
  </si>
  <si>
    <t>Position J (?):  IE55 w/ o-ring</t>
  </si>
  <si>
    <t>Iridium/GPS Ant., conn/o-ring/ CA W5, J2</t>
  </si>
  <si>
    <t>52241</t>
  </si>
  <si>
    <t xml:space="preserve"> Vacuum/pressure relief valve (deep sea power)</t>
  </si>
  <si>
    <t>52449</t>
  </si>
  <si>
    <t>Pump Plate, Inner</t>
  </si>
  <si>
    <t>Assy, Main pump motor w/ CA W8,W18</t>
  </si>
  <si>
    <t>(3x) M2 x 6 FHMS  (motor to interface plate)</t>
  </si>
  <si>
    <t>Bore Reducer</t>
  </si>
  <si>
    <t>52351</t>
  </si>
  <si>
    <t>Pulley, LeDuc pump motor</t>
  </si>
  <si>
    <t>(6x) 4-40 x 3/8 FHMS, hyd end cap to inner plate</t>
  </si>
  <si>
    <t>55229</t>
  </si>
  <si>
    <t>Pulley, LeDuc pump</t>
  </si>
  <si>
    <t>Timing Belt</t>
  </si>
  <si>
    <t>52357</t>
  </si>
  <si>
    <t>Pump Plate, Outer</t>
  </si>
  <si>
    <t>(4x) 4-40 x 3/16 SHCS + #4 LW, outer plate to inner plate</t>
  </si>
  <si>
    <t>55296</t>
  </si>
  <si>
    <t>Assy., Boost Pump</t>
  </si>
  <si>
    <t>Pump Bracket</t>
  </si>
  <si>
    <t>Motor, Chrge Pump w/ W34</t>
  </si>
  <si>
    <t>52288</t>
  </si>
  <si>
    <t>Hull, Fwd Battery</t>
  </si>
  <si>
    <t>Hull, Aft Battery</t>
  </si>
  <si>
    <t>Joint Ring , battery hulls</t>
  </si>
  <si>
    <t>(8x) 6-32 x 3/4 SHCS + #6 LW, joint ring to fwd/aft batt. Hull</t>
  </si>
  <si>
    <t>55214 / 55217</t>
  </si>
  <si>
    <t>(2x) O-Ring, E70-271</t>
  </si>
  <si>
    <t>(12x) Clips, Rib</t>
  </si>
  <si>
    <t>(12x) Clips, Wiring</t>
  </si>
  <si>
    <t>Oil Absorption pad, 1.9" x 10.125" + (2x) rib clips</t>
  </si>
  <si>
    <t>55527 / 49883</t>
  </si>
  <si>
    <t>Assy., Forward Hull Sections</t>
  </si>
  <si>
    <t>Endcap, Forward</t>
  </si>
  <si>
    <t>Acoustic transducer (ITC-3013), w/ cable W36</t>
  </si>
  <si>
    <t>52431</t>
  </si>
  <si>
    <t>Filter, Balston</t>
  </si>
  <si>
    <t>52425</t>
  </si>
  <si>
    <t>Assy., Hydraulic Reservoir</t>
  </si>
  <si>
    <t>Piston, Diaphragm</t>
  </si>
  <si>
    <t>Diaphragm, Internal (Bellofram)</t>
  </si>
  <si>
    <t>52359</t>
  </si>
  <si>
    <t>Sikaflex Adhesive Compound</t>
  </si>
  <si>
    <t>55459</t>
  </si>
  <si>
    <t>Cylinder Head, Diaphragm</t>
  </si>
  <si>
    <t>Branch Tee, Male, 1/4 tube x 1/8 NPT x 1/4 tube, brass + Plastic plug (X59P4)</t>
  </si>
  <si>
    <t>52443</t>
  </si>
  <si>
    <t>Elbow, 1/8 NPT M x 1/8 NPT M, brass</t>
  </si>
  <si>
    <t>52426</t>
  </si>
  <si>
    <t>Kepner Chk Valve 404A-1-10</t>
  </si>
  <si>
    <t>52447</t>
  </si>
  <si>
    <t>Position F (WL-3 / PAR):  IE55 dummy plug</t>
  </si>
  <si>
    <t>Position G (?):  IE55 dummy plug</t>
  </si>
  <si>
    <t>Position H (?):  IE55 dummy plug</t>
  </si>
  <si>
    <t>Position I (?):  IE55 dummy plug</t>
  </si>
  <si>
    <t>Position J (?):  IE55 dummy plug</t>
  </si>
  <si>
    <t>O-Ring, E70-270, Endcap to Batt Hull</t>
  </si>
  <si>
    <t>52411</t>
  </si>
  <si>
    <t>(2x) 6-32 x 1/2 SHCS w/ LW + (5x) 6-32 x 5/8 with zincs, endcap to battery hull</t>
  </si>
  <si>
    <t>52373 / 55257</t>
  </si>
  <si>
    <t>(2x) Saddles, mounting, C PCB + (4x) 4-40 x 1/4 PHMS</t>
  </si>
  <si>
    <t>49888 / 55257</t>
  </si>
  <si>
    <t>(2x) Saddles, mounting, T PCB + (4x) 4-40 x 1/4 PHMS</t>
  </si>
  <si>
    <t>(2x) Saddles, mounting, O2 PCB + (4x) 4-40 x 1/4 PHMS (only used with SBE 43f)</t>
  </si>
  <si>
    <t>Weigh Hydraulic res. Assy, then Oil fill &amp; add sub-assy fasteners</t>
  </si>
  <si>
    <t>Linear Poteniometer A  w/ cable assy (W21), Linear pot clamp, 3-48 x 1/2 SHCS, Spring, Linear pot rod end</t>
  </si>
  <si>
    <t>52255 / 49814 / 55220</t>
  </si>
  <si>
    <t>Linear Poteniometer B  w/ cable assy (W20), Linear pot clamp, 3-48 x 1/2 SHCS, Spring, Linear pot rod end</t>
  </si>
  <si>
    <t>52256 / 49814 / 55220</t>
  </si>
  <si>
    <t>(2x) 5-40 x 1/2 SHCS + #5 LW, Clamp to cylinder</t>
  </si>
  <si>
    <t xml:space="preserve">55250 / 55212 / 55225 </t>
  </si>
  <si>
    <t>(2x) 6-32 x 1/2 SHCS + #6 LW, boost pump bracket to endcap</t>
  </si>
  <si>
    <t>(4x) 6-32 x 1/2 SHCS + #6 LW, cylinder standoff to endcap</t>
  </si>
  <si>
    <t>Ballasting worksheet</t>
  </si>
  <si>
    <t>Conversions</t>
  </si>
  <si>
    <t>Units</t>
  </si>
  <si>
    <t xml:space="preserve">VBD </t>
  </si>
  <si>
    <t>counts/cc</t>
  </si>
  <si>
    <t>cc=cm3</t>
  </si>
  <si>
    <t>gm=grams</t>
  </si>
  <si>
    <t>cc/counts</t>
  </si>
  <si>
    <t>counts=AtoD counts</t>
  </si>
  <si>
    <t>In tank to find original volume of SG</t>
  </si>
  <si>
    <t>Tank Temp</t>
  </si>
  <si>
    <t>deg C</t>
  </si>
  <si>
    <t>Measured with SG CT</t>
  </si>
  <si>
    <t>Tank Salinity (meas)</t>
  </si>
  <si>
    <t>ppt</t>
  </si>
  <si>
    <t>Tank Salinity (corr)</t>
  </si>
  <si>
    <t>ratio for tank salt</t>
  </si>
  <si>
    <t>Tank Density</t>
  </si>
  <si>
    <t>gram/cc</t>
  </si>
  <si>
    <t>calculated using web-calculator</t>
  </si>
  <si>
    <t>SG Mass</t>
  </si>
  <si>
    <t>SBE Oxygen PCB (only used with SBE 43f) ((included with sensors)</t>
  </si>
  <si>
    <t>Oxygen, PCB jumper, CA W33 (only used with SBE 43f)</t>
  </si>
  <si>
    <t>Ribbon Cable (W13) (gray)</t>
  </si>
  <si>
    <t>52248</t>
  </si>
  <si>
    <t>Ribbon  Cable (W14) (rainbow)</t>
  </si>
  <si>
    <t>52249</t>
  </si>
  <si>
    <t>RAFOS transducer extension cable</t>
  </si>
  <si>
    <t>CT Sensor Sail Assembly (stanchion, guard, nut, nacelle, (6x) 6-32 x 5/16 FHMS, o-ring (E70-016), o-ring (E70-012), SBE components)</t>
  </si>
  <si>
    <t>Lee Plug Set</t>
  </si>
  <si>
    <t>52445 / 52446</t>
  </si>
  <si>
    <t>Check Valve (altered item Kepner 1106 A-1-1) + O-Ring (N70 3-906)</t>
  </si>
  <si>
    <t>49852 / 52408</t>
  </si>
  <si>
    <t xml:space="preserve">Bladder, External </t>
  </si>
  <si>
    <t>52441</t>
  </si>
  <si>
    <t>Nut, Bladder</t>
  </si>
  <si>
    <t>49802</t>
  </si>
  <si>
    <t>Position A (Comms):  IE55 w o-ring</t>
  </si>
  <si>
    <t>Position B (Opt O2):  IE55 w o-ring</t>
  </si>
  <si>
    <t>Position C (WL-1):  IE55 w o-ring</t>
  </si>
  <si>
    <t>Position D (SBE O2):  IE55 w o-ring</t>
  </si>
  <si>
    <t>Position E (WL-2):  IE55 w/ o-ring</t>
  </si>
  <si>
    <t>52370</t>
  </si>
  <si>
    <t>(6x) 6-32 x 1/4 PHMS, main board to rails</t>
  </si>
  <si>
    <t>55237</t>
  </si>
  <si>
    <t>Assy., OEM Navigation Board (transponder PCB, transformer/inductor, capacitors, GPS reciever, W6 GPS serial interface, GPS antenna cable,DC-DC converter, Cable Assembly W7, all soldered on wiring )</t>
  </si>
  <si>
    <t>Assy., RAFOS clock and receiver board &amp; cable to mainboard</t>
  </si>
  <si>
    <t>not in BOM</t>
  </si>
  <si>
    <t>(6x) 6-32 x 1/4 PHMS, OEM board to rails</t>
  </si>
  <si>
    <t>Assy.,  Iridium Modem and bracket (includes satellite reciever - iridium LBT, cable assy W3, all clamps for wires, RF switch, DC block, and mounting hardware)</t>
  </si>
  <si>
    <t>(4x) 6-32 x 1/4 PHMS + #6 LW, modem cage to rails</t>
  </si>
  <si>
    <t>55209 / 55217</t>
  </si>
  <si>
    <t>Battery Pack, LV w/ CA W1</t>
  </si>
  <si>
    <t>52237</t>
  </si>
  <si>
    <t>Battery Pack Cage, LV</t>
  </si>
  <si>
    <t>(6x) 6-32 x 1/4 PHMS + #6 LW, batt. cage to rails</t>
  </si>
  <si>
    <t>Assy., Battery Hull Sections</t>
  </si>
  <si>
    <t>0 Deg C</t>
  </si>
  <si>
    <t>30 Deg C</t>
  </si>
  <si>
    <t>Output</t>
  </si>
  <si>
    <t>(A/D counts)</t>
  </si>
  <si>
    <t>Slope Coefficient Units (PSIA/A-D )</t>
  </si>
  <si>
    <t>Intercept Coefficient (PSIA)</t>
  </si>
  <si>
    <t>Slope</t>
  </si>
  <si>
    <t>Intercept</t>
  </si>
  <si>
    <t>Error Analysis 0 Deg</t>
  </si>
  <si>
    <t>Error Analysis 30 Deg</t>
  </si>
  <si>
    <t>Calculated</t>
  </si>
  <si>
    <t>Error</t>
  </si>
  <si>
    <t>Use these values for Seaglider Calibration Coefficients</t>
  </si>
  <si>
    <t>Slope Coefficient Units (PSIG/A-D )</t>
  </si>
  <si>
    <t>Intercept Coefficient (PSIG)</t>
  </si>
  <si>
    <t>Motor Data</t>
  </si>
  <si>
    <t>Main Pump Motor</t>
  </si>
  <si>
    <t>52267 / 52223</t>
  </si>
  <si>
    <t>O-Ring, E70-238, transducer to Endcap</t>
  </si>
  <si>
    <t>(6x) Alum 1/4-20 x 3/4 SHCS + 1/4 LW, xducer to end cap</t>
  </si>
  <si>
    <t>55236 / 55252</t>
  </si>
  <si>
    <t>Hull, Electronics</t>
  </si>
  <si>
    <t>O-Ring, E70-263, elec hull to fwd endcap</t>
  </si>
  <si>
    <t>(8x) 6-32 x 1/2 SHCS + #6 LW, elec hull to fwd endcap</t>
  </si>
  <si>
    <t>(pressure test above components w/ bulkhead and pressure sensor assy)</t>
  </si>
  <si>
    <t>Compass bracket</t>
  </si>
  <si>
    <t>Compass w/compass carrier PCB</t>
  </si>
  <si>
    <t>Elbow, 1/8 npt x 1/8 tube, alum</t>
  </si>
  <si>
    <t>52427</t>
  </si>
  <si>
    <t>Bleed screw, 10-32 x .125 PHMS with seal</t>
  </si>
  <si>
    <t>55477</t>
  </si>
  <si>
    <t>Cylinder, Diaphragm</t>
  </si>
  <si>
    <t>(8x) 5-40 x 3/8 SHCS +#5 LW, head to cylinder</t>
  </si>
  <si>
    <t>55251</t>
  </si>
  <si>
    <t>Standoff (starboard)</t>
  </si>
  <si>
    <t>55299</t>
  </si>
  <si>
    <t>Standoff (port)</t>
  </si>
  <si>
    <t>(4x) 6-32 x 3/8 SHCS, standoff to cylinder</t>
  </si>
  <si>
    <t>55183</t>
  </si>
  <si>
    <t>(2x) Saddles, mounting, Aft PCB + (4x) 4-40 x 1/4 PHMS</t>
  </si>
  <si>
    <t>sum grams</t>
  </si>
  <si>
    <t>Nose plates  (qty)</t>
  </si>
  <si>
    <t>pc-1</t>
  </si>
  <si>
    <t>pc-2</t>
  </si>
  <si>
    <t>pc-3</t>
  </si>
  <si>
    <t>pc-4</t>
  </si>
  <si>
    <t>pc-5</t>
  </si>
  <si>
    <t>pc-6</t>
  </si>
  <si>
    <t>pc-7</t>
  </si>
  <si>
    <t>pc-8</t>
  </si>
  <si>
    <t>pc-9</t>
  </si>
  <si>
    <t>pc-10</t>
  </si>
  <si>
    <t>weights</t>
  </si>
  <si>
    <t>screws</t>
  </si>
  <si>
    <t>Scale weight of fwd fairing with nose plates added:</t>
  </si>
  <si>
    <t>Lead On Pupa At Fairing Joint Ring</t>
  </si>
  <si>
    <t>port/top</t>
  </si>
  <si>
    <t>middle</t>
  </si>
  <si>
    <t>stbrd/bottom</t>
  </si>
  <si>
    <t>Bottom side lead</t>
  </si>
  <si>
    <t>weight tape</t>
  </si>
  <si>
    <t>rubber &amp; tape</t>
  </si>
  <si>
    <t>Port side lead</t>
  </si>
  <si>
    <t>Starboard side lead</t>
  </si>
  <si>
    <t>Top side lead</t>
  </si>
  <si>
    <t>All around strap</t>
  </si>
  <si>
    <t>All around tape</t>
  </si>
  <si>
    <t>Sum all weight tape</t>
  </si>
  <si>
    <t>Scale weight of pupa with lead added:</t>
  </si>
  <si>
    <t>Forward, bottom lead</t>
  </si>
  <si>
    <t>Total tape</t>
  </si>
  <si>
    <t>sum lead</t>
  </si>
  <si>
    <t>sum all variable wt.</t>
  </si>
  <si>
    <t>Whole glider weight - BEFORE PUTTING IN TANK or BOX - DRY!!!</t>
  </si>
  <si>
    <t>100-cycle avg. current (mA)</t>
  </si>
  <si>
    <t>100-cycle avg. current peak  (mA)</t>
  </si>
  <si>
    <t xml:space="preserve">Initial flair maneuver (dive start) (mA) </t>
  </si>
  <si>
    <t>Surface maneuver (mA)</t>
  </si>
  <si>
    <t>Apogee maneuver (mid dive) (mA)</t>
  </si>
  <si>
    <t>Material Density</t>
  </si>
  <si>
    <t>6061 T6 Alum</t>
  </si>
  <si>
    <t>Lead</t>
  </si>
  <si>
    <t>Naval Brass</t>
  </si>
  <si>
    <t>Stainless Steel</t>
  </si>
  <si>
    <t>Polypropylene</t>
  </si>
  <si>
    <t>Fairing fiberglass density**</t>
  </si>
  <si>
    <t xml:space="preserve">  Zinc</t>
  </si>
  <si>
    <t>PVC Density</t>
  </si>
  <si>
    <t>Neoprene Density</t>
  </si>
  <si>
    <t>Hydraulic Oil* Density</t>
  </si>
  <si>
    <t>PRC Wing Density</t>
  </si>
  <si>
    <t>EPDM sheet density</t>
  </si>
  <si>
    <t>Nylon density</t>
  </si>
  <si>
    <t>Polycarbonate</t>
  </si>
  <si>
    <t>measured with lead est. from orig. trim sheet</t>
  </si>
  <si>
    <t>SG Volume</t>
  </si>
  <si>
    <t>at neutral, when achieved relative to C_VBD</t>
  </si>
  <si>
    <t>Neutral by interation in tank</t>
  </si>
  <si>
    <t>Relative to set C_VBD</t>
  </si>
  <si>
    <t>counts</t>
  </si>
  <si>
    <t>(Neil's table )</t>
  </si>
  <si>
    <t>counts*</t>
  </si>
  <si>
    <t>VBD rel V0, cc</t>
  </si>
  <si>
    <t>Displacement</t>
  </si>
  <si>
    <t>Vol max (oil outside)</t>
  </si>
  <si>
    <t>cc (pos. floats)</t>
  </si>
  <si>
    <t>Vol neutral</t>
  </si>
  <si>
    <t>(obsv in tank)</t>
  </si>
  <si>
    <t>Vol min (oil inside)</t>
  </si>
  <si>
    <t>cc (neg. sinks)</t>
  </si>
  <si>
    <t>Max movable vol.</t>
  </si>
  <si>
    <t>Mass Shifter Stability Rod Assy w/ Hard Stop ("the stinger")</t>
  </si>
  <si>
    <t>Assy., Mass shifter</t>
  </si>
  <si>
    <t>Moveable Weight</t>
  </si>
  <si>
    <t>Battery Enclosure</t>
  </si>
  <si>
    <t>HV Battery</t>
  </si>
  <si>
    <t>Assy., Electronics</t>
  </si>
  <si>
    <t>52347</t>
  </si>
  <si>
    <t>Electronics rail, port</t>
  </si>
  <si>
    <t>Electronics rail, starboard</t>
  </si>
  <si>
    <t>Seaglider Mainboard (Mother board, TT8, CF8, flash card)</t>
  </si>
  <si>
    <t>52290-B.4</t>
  </si>
  <si>
    <t xml:space="preserve"> Insulation Sheet-OEM/Main</t>
  </si>
  <si>
    <t>** vary to balance overall density of glider</t>
  </si>
  <si>
    <t>*Amsoil AWF-ISO15 (synthetic) specfic gravity is 0.8229gm/cc from product sheet 1/23/2009</t>
  </si>
  <si>
    <t>New enviornment ballasting</t>
  </si>
  <si>
    <t>SG Mass (observed)</t>
  </si>
  <si>
    <t>SG Vol max (obsv/est)</t>
  </si>
  <si>
    <t>SG Vol min</t>
  </si>
  <si>
    <t>New enivron density</t>
  </si>
  <si>
    <t>g/cc</t>
  </si>
  <si>
    <t>Goal for thrust</t>
  </si>
  <si>
    <t xml:space="preserve">New Vol neutral </t>
  </si>
  <si>
    <t>lead density</t>
  </si>
  <si>
    <t>Change mass by</t>
  </si>
  <si>
    <t>vol lead change</t>
  </si>
  <si>
    <t>Projected new mass</t>
  </si>
  <si>
    <t>Proj. Vol. max</t>
  </si>
  <si>
    <t>VBD points for new environ</t>
  </si>
  <si>
    <t>Vol max</t>
  </si>
  <si>
    <t>Vol neutral (C_VBD)</t>
  </si>
  <si>
    <t>Vol min</t>
  </si>
  <si>
    <t>Actual new mass</t>
  </si>
  <si>
    <t>Est. Vol. neutral</t>
  </si>
  <si>
    <t>Est. C_VBD</t>
  </si>
  <si>
    <t>Tank and Puget Sound Notes</t>
  </si>
  <si>
    <t>Seaglider</t>
  </si>
  <si>
    <t>Date</t>
  </si>
  <si>
    <t>Action</t>
  </si>
  <si>
    <t>Maintenance sheet</t>
  </si>
  <si>
    <t xml:space="preserve">SG </t>
  </si>
  <si>
    <t>last updated</t>
  </si>
  <si>
    <t>Paine</t>
  </si>
  <si>
    <t>211-75-710-05</t>
  </si>
  <si>
    <t>Conversion to SG counts</t>
  </si>
  <si>
    <t>A/D Ref Voltage</t>
  </si>
  <si>
    <t>Volts/AD-count</t>
  </si>
  <si>
    <t>A/D Counts/Volt</t>
  </si>
  <si>
    <t>Max counts  (24 bit AD)</t>
  </si>
  <si>
    <t>Excitation Voltage</t>
  </si>
  <si>
    <t>5.000</t>
  </si>
  <si>
    <t>Paine calibration data from sheet delivered with sensor</t>
  </si>
  <si>
    <t>Excitation Voltage = 10.000V</t>
  </si>
  <si>
    <t>Response voltages in mV</t>
  </si>
  <si>
    <t>Pressure</t>
  </si>
  <si>
    <t>0 deg C</t>
  </si>
  <si>
    <t>30 deg C</t>
  </si>
  <si>
    <t>(PSIA)</t>
  </si>
  <si>
    <t>Increasing</t>
  </si>
  <si>
    <t>Decreasing</t>
  </si>
  <si>
    <t>Averages of increasing and decreasing and adjusted for Seaglider 5.000V excitation voltage</t>
  </si>
  <si>
    <t>Average</t>
  </si>
  <si>
    <t>Boost Pump motor</t>
  </si>
  <si>
    <t>Roll Motor</t>
  </si>
  <si>
    <t>Pitch Motor</t>
  </si>
  <si>
    <t>Amp w/full mass shifter assy. orientation - nose down, full lift</t>
  </si>
  <si>
    <t>Amp of pitch system during Port Susan dives</t>
  </si>
  <si>
    <t>SG SN</t>
  </si>
  <si>
    <t>Burn in time (min):</t>
  </si>
  <si>
    <t>Amp @ start of burn in (mA):</t>
  </si>
  <si>
    <t>Amp @ end of burn in (mA):</t>
  </si>
  <si>
    <t>Amp w/main pump and oil (no load on bench) (mA):</t>
  </si>
  <si>
    <t>Amp w/micro pump (mA):</t>
  </si>
  <si>
    <t>Amp w/gear block assy. (mA):</t>
  </si>
  <si>
    <t>100-cycle average time (sec):</t>
  </si>
  <si>
    <t>55305 / 52466</t>
  </si>
  <si>
    <t>(4x) 4-40 x 3/8 SHCS + #4 x 1/8L stand off</t>
  </si>
  <si>
    <t>55256 / 55282</t>
  </si>
  <si>
    <t>(2x) 4-40 X 3/8 SHCS + #4 LW, comp mt to fwd encap</t>
  </si>
  <si>
    <t>55228 / 55233</t>
  </si>
  <si>
    <t>Cable Assembly W9  (compass cable)</t>
  </si>
  <si>
    <t>SG lead worksheet</t>
  </si>
  <si>
    <t>SG#</t>
  </si>
  <si>
    <t>date</t>
  </si>
  <si>
    <t>Ballast for:</t>
  </si>
  <si>
    <t>time</t>
  </si>
  <si>
    <t>Density:</t>
  </si>
  <si>
    <t>who</t>
  </si>
  <si>
    <t>Thrust:</t>
  </si>
  <si>
    <t>Wt. goal</t>
  </si>
  <si>
    <t>grams/pcs</t>
  </si>
</sst>
</file>

<file path=xl/styles.xml><?xml version="1.0" encoding="utf-8"?>
<styleSheet xmlns="http://schemas.openxmlformats.org/spreadsheetml/2006/main">
  <numFmts count="17">
    <numFmt numFmtId="164" formatCode="_-* #,##0.00_-;\-* #,##0.00_-;_-* \-??_-;_-@_-"/>
    <numFmt numFmtId="165" formatCode="_(* #,##0.00_);_(* \(#,##0.00\);_(* \-??_);_(@_)"/>
    <numFmt numFmtId="166" formatCode="d\-mmm\-yy;@"/>
    <numFmt numFmtId="167" formatCode="0.00;[Red]0.00"/>
    <numFmt numFmtId="168" formatCode="0.000000"/>
    <numFmt numFmtId="169" formatCode="0.00000"/>
    <numFmt numFmtId="170" formatCode="0.000000E+00"/>
    <numFmt numFmtId="171" formatCode="0.000"/>
    <numFmt numFmtId="172" formatCode="0.0"/>
    <numFmt numFmtId="173" formatCode="0000"/>
    <numFmt numFmtId="174" formatCode="0.00000000E+00"/>
    <numFmt numFmtId="175" formatCode="0.0000E+00"/>
    <numFmt numFmtId="176" formatCode="_(* #,##0_);_(* \(#,##0\);_(* \-??_);_(@_)"/>
    <numFmt numFmtId="177" formatCode="0.0E+00;\ठ"/>
    <numFmt numFmtId="178" formatCode="dd\-mmm\-yy"/>
    <numFmt numFmtId="179" formatCode="0.0000"/>
    <numFmt numFmtId="181" formatCode="0.000E+00"/>
  </numFmts>
  <fonts count="69">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4"/>
      <color indexed="10"/>
      <name val="Arial"/>
      <family val="2"/>
    </font>
    <font>
      <sz val="12"/>
      <name val="Arial"/>
      <family val="2"/>
    </font>
    <font>
      <b/>
      <sz val="12"/>
      <name val="Arial"/>
      <family val="2"/>
    </font>
    <font>
      <sz val="14"/>
      <name val="Arial"/>
      <family val="2"/>
    </font>
    <font>
      <sz val="10"/>
      <color indexed="10"/>
      <name val="Arial"/>
      <family val="2"/>
    </font>
    <font>
      <sz val="10"/>
      <color indexed="53"/>
      <name val="Arial"/>
      <family val="2"/>
    </font>
    <font>
      <i/>
      <sz val="10"/>
      <name val="Arial"/>
      <family val="2"/>
    </font>
    <font>
      <sz val="10"/>
      <name val="Verdana"/>
    </font>
    <font>
      <sz val="10"/>
      <color indexed="10"/>
      <name val="Arial"/>
      <family val="2"/>
    </font>
    <font>
      <sz val="10"/>
      <color indexed="8"/>
      <name val="Arial"/>
      <family val="2"/>
    </font>
    <font>
      <b/>
      <sz val="18"/>
      <name val="Arial"/>
      <family val="2"/>
    </font>
    <font>
      <sz val="11"/>
      <name val="Arial"/>
      <family val="2"/>
    </font>
    <font>
      <b/>
      <sz val="8"/>
      <color indexed="8"/>
      <name val="Nimbus Roman No9 L"/>
      <family val="1"/>
    </font>
    <font>
      <sz val="8"/>
      <color indexed="8"/>
      <name val="Nimbus Roman No9 L"/>
      <family val="1"/>
    </font>
    <font>
      <sz val="12"/>
      <color indexed="14"/>
      <name val="Arial"/>
      <family val="2"/>
    </font>
    <font>
      <sz val="12"/>
      <color indexed="10"/>
      <name val="Arial"/>
      <family val="2"/>
    </font>
    <font>
      <sz val="12"/>
      <name val="Arial"/>
      <family val="2"/>
    </font>
    <font>
      <b/>
      <sz val="12"/>
      <color indexed="10"/>
      <name val="Arial"/>
      <family val="2"/>
    </font>
    <font>
      <b/>
      <i/>
      <sz val="12"/>
      <name val="Arial"/>
      <family val="2"/>
    </font>
    <font>
      <sz val="12"/>
      <color indexed="10"/>
      <name val="Arial"/>
      <family val="2"/>
    </font>
    <font>
      <sz val="12"/>
      <color indexed="8"/>
      <name val="Arial"/>
      <family val="2"/>
    </font>
    <font>
      <sz val="12"/>
      <color indexed="25"/>
      <name val="Arial"/>
      <family val="2"/>
    </font>
    <font>
      <b/>
      <i/>
      <sz val="12"/>
      <color indexed="8"/>
      <name val="Arial"/>
      <family val="2"/>
    </font>
    <font>
      <i/>
      <sz val="12"/>
      <name val="Arial"/>
      <family val="2"/>
    </font>
    <font>
      <u/>
      <sz val="12"/>
      <name val="Arial"/>
      <family val="2"/>
    </font>
    <font>
      <u/>
      <sz val="12"/>
      <color indexed="8"/>
      <name val="Arial"/>
      <family val="2"/>
    </font>
    <font>
      <sz val="14"/>
      <color indexed="8"/>
      <name val="Arial"/>
      <family val="2"/>
    </font>
    <font>
      <b/>
      <sz val="12"/>
      <color indexed="25"/>
      <name val="Arial"/>
      <family val="2"/>
    </font>
    <font>
      <b/>
      <sz val="12"/>
      <color indexed="8"/>
      <name val="Arial"/>
      <family val="2"/>
    </font>
    <font>
      <b/>
      <sz val="12"/>
      <color indexed="11"/>
      <name val="Arial"/>
      <family val="2"/>
    </font>
    <font>
      <sz val="12"/>
      <color indexed="11"/>
      <name val="Arial"/>
      <family val="2"/>
    </font>
    <font>
      <sz val="12"/>
      <color indexed="12"/>
      <name val="Arial"/>
      <family val="2"/>
    </font>
    <font>
      <b/>
      <sz val="10"/>
      <color indexed="8"/>
      <name val="Nimbus Roman No9 L"/>
    </font>
    <font>
      <sz val="10"/>
      <color indexed="8"/>
      <name val="Nimbus Roman No9 L"/>
    </font>
    <font>
      <sz val="14"/>
      <color indexed="10"/>
      <name val="Arial"/>
      <family val="2"/>
    </font>
    <font>
      <b/>
      <sz val="16"/>
      <name val="Arial"/>
      <family val="2"/>
    </font>
    <font>
      <b/>
      <sz val="12"/>
      <color indexed="14"/>
      <name val="Arial"/>
      <family val="2"/>
    </font>
    <font>
      <b/>
      <sz val="10"/>
      <name val="Arial"/>
      <family val="2"/>
    </font>
    <font>
      <b/>
      <i/>
      <sz val="10"/>
      <name val="Arial"/>
      <family val="2"/>
    </font>
    <font>
      <sz val="10"/>
      <color indexed="12"/>
      <name val="Arial"/>
      <family val="2"/>
    </font>
    <font>
      <b/>
      <sz val="10"/>
      <color indexed="10"/>
      <name val="Arial"/>
      <family val="2"/>
    </font>
    <font>
      <b/>
      <u/>
      <sz val="12"/>
      <name val="Arial"/>
      <family val="2"/>
    </font>
    <font>
      <sz val="10"/>
      <name val="Arial"/>
    </font>
    <font>
      <sz val="8"/>
      <name val="Verdana"/>
      <family val="2"/>
    </font>
    <font>
      <sz val="10"/>
      <color indexed="21"/>
      <name val="Arial"/>
      <family val="2"/>
    </font>
    <font>
      <b/>
      <sz val="10"/>
      <color indexed="21"/>
      <name val="Arial"/>
      <family val="2"/>
    </font>
    <font>
      <sz val="8"/>
      <name val="Arial"/>
      <family val="2"/>
    </font>
    <font>
      <b/>
      <sz val="9"/>
      <color indexed="81"/>
      <name val="Tahoma"/>
      <family val="2"/>
    </font>
    <font>
      <sz val="9"/>
      <color indexed="81"/>
      <name val="Tahoma"/>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
      <patternFill patternType="solid">
        <fgColor indexed="47"/>
        <bgColor indexed="64"/>
      </patternFill>
    </fill>
    <fill>
      <patternFill patternType="solid">
        <fgColor indexed="11"/>
        <bgColor indexed="64"/>
      </patternFill>
    </fill>
    <fill>
      <patternFill patternType="solid">
        <fgColor indexed="55"/>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bottom/>
      <diagonal/>
    </border>
    <border>
      <left style="thin">
        <color indexed="8"/>
      </left>
      <right/>
      <top/>
      <bottom style="double">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style="double">
        <color indexed="8"/>
      </top>
      <bottom/>
      <diagonal/>
    </border>
    <border>
      <left/>
      <right style="thin">
        <color indexed="8"/>
      </right>
      <top/>
      <bottom style="thin">
        <color indexed="8"/>
      </bottom>
      <diagonal/>
    </border>
    <border>
      <left/>
      <right/>
      <top style="thin">
        <color indexed="8"/>
      </top>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medium">
        <color indexed="8"/>
      </right>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style="double">
        <color indexed="8"/>
      </bottom>
      <diagonal/>
    </border>
    <border>
      <left/>
      <right/>
      <top style="double">
        <color indexed="8"/>
      </top>
      <bottom/>
      <diagonal/>
    </border>
    <border>
      <left/>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top/>
      <bottom style="medium">
        <color indexed="8"/>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5" fontId="6" fillId="0" borderId="0" applyFill="0" applyBorder="0" applyAlignment="0" applyProtection="0"/>
    <xf numFmtId="164" fontId="6"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0" borderId="0"/>
    <xf numFmtId="0" fontId="6" fillId="0" borderId="0"/>
    <xf numFmtId="0" fontId="6" fillId="0" borderId="0"/>
    <xf numFmtId="0" fontId="6" fillId="0" borderId="0"/>
    <xf numFmtId="0" fontId="62" fillId="23" borderId="7" applyNumberFormat="0" applyAlignment="0" applyProtection="0"/>
    <xf numFmtId="0" fontId="15" fillId="20" borderId="8" applyNumberFormat="0" applyAlignment="0" applyProtection="0"/>
    <xf numFmtId="9" fontId="6"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46">
    <xf numFmtId="0" fontId="0" fillId="0" borderId="0" xfId="0"/>
    <xf numFmtId="0" fontId="0" fillId="0" borderId="0" xfId="0" applyAlignment="1">
      <alignment horizontal="center"/>
    </xf>
    <xf numFmtId="0" fontId="19" fillId="0" borderId="10" xfId="0" applyFont="1" applyBorder="1"/>
    <xf numFmtId="0" fontId="0" fillId="0" borderId="10" xfId="0" applyBorder="1" applyAlignment="1">
      <alignment horizontal="center"/>
    </xf>
    <xf numFmtId="49" fontId="19" fillId="0" borderId="10" xfId="28" applyNumberFormat="1" applyFont="1" applyFill="1" applyBorder="1" applyAlignment="1" applyProtection="1">
      <alignment horizontal="right"/>
    </xf>
    <xf numFmtId="0" fontId="20" fillId="0" borderId="10" xfId="28" applyNumberFormat="1" applyFont="1" applyFill="1" applyBorder="1" applyAlignment="1" applyProtection="1">
      <alignment horizontal="center"/>
    </xf>
    <xf numFmtId="0" fontId="21" fillId="0" borderId="0" xfId="0" applyFont="1" applyAlignment="1">
      <alignment horizontal="right"/>
    </xf>
    <xf numFmtId="15" fontId="22" fillId="0" borderId="0" xfId="0" applyNumberFormat="1" applyFont="1" applyAlignment="1">
      <alignment horizontal="left"/>
    </xf>
    <xf numFmtId="0" fontId="21" fillId="0" borderId="0" xfId="0" applyFont="1"/>
    <xf numFmtId="20" fontId="22" fillId="0" borderId="0" xfId="0" applyNumberFormat="1" applyFont="1" applyAlignment="1">
      <alignment horizontal="left"/>
    </xf>
    <xf numFmtId="0" fontId="21" fillId="0" borderId="0" xfId="0" applyFont="1" applyAlignment="1">
      <alignment horizontal="center"/>
    </xf>
    <xf numFmtId="0" fontId="23" fillId="0" borderId="11" xfId="0" applyFont="1" applyBorder="1" applyAlignment="1">
      <alignment horizontal="left"/>
    </xf>
    <xf numFmtId="0" fontId="0" fillId="0" borderId="12" xfId="0" applyFont="1" applyBorder="1" applyAlignment="1">
      <alignment horizontal="right"/>
    </xf>
    <xf numFmtId="166" fontId="24" fillId="0" borderId="13" xfId="0" applyNumberFormat="1" applyFont="1" applyBorder="1" applyAlignment="1">
      <alignment horizontal="center"/>
    </xf>
    <xf numFmtId="0" fontId="0" fillId="0" borderId="0" xfId="0" applyFill="1"/>
    <xf numFmtId="0" fontId="0" fillId="0" borderId="0" xfId="0" applyAlignment="1">
      <alignment horizontal="left"/>
    </xf>
    <xf numFmtId="0" fontId="19" fillId="0" borderId="11" xfId="0" applyFont="1" applyBorder="1"/>
    <xf numFmtId="0" fontId="0" fillId="0" borderId="12" xfId="0" applyBorder="1" applyAlignment="1">
      <alignment horizontal="center"/>
    </xf>
    <xf numFmtId="0" fontId="0" fillId="0" borderId="0" xfId="0" applyBorder="1"/>
    <xf numFmtId="0" fontId="0" fillId="0" borderId="0" xfId="0" applyFont="1" applyAlignment="1">
      <alignment horizontal="right"/>
    </xf>
    <xf numFmtId="0" fontId="0" fillId="0" borderId="0" xfId="0" applyFont="1" applyAlignment="1">
      <alignment horizontal="center"/>
    </xf>
    <xf numFmtId="1" fontId="0" fillId="0" borderId="0" xfId="0" applyNumberFormat="1" applyFont="1" applyAlignment="1">
      <alignment horizontal="center"/>
    </xf>
    <xf numFmtId="0" fontId="0" fillId="0" borderId="0" xfId="0" applyBorder="1" applyAlignment="1">
      <alignment horizontal="center"/>
    </xf>
    <xf numFmtId="0" fontId="0" fillId="0" borderId="0" xfId="0" applyFont="1" applyBorder="1" applyAlignment="1">
      <alignment horizontal="right"/>
    </xf>
    <xf numFmtId="0" fontId="24" fillId="0" borderId="14" xfId="0" applyFont="1" applyBorder="1" applyAlignment="1">
      <alignment horizontal="center"/>
    </xf>
    <xf numFmtId="1" fontId="0" fillId="0" borderId="14" xfId="0" applyNumberFormat="1" applyBorder="1" applyAlignment="1">
      <alignment horizontal="center"/>
    </xf>
    <xf numFmtId="2" fontId="0" fillId="0" borderId="14" xfId="0" applyNumberFormat="1" applyBorder="1" applyAlignment="1">
      <alignment horizontal="center"/>
    </xf>
    <xf numFmtId="0" fontId="0" fillId="0" borderId="14" xfId="0" applyBorder="1" applyAlignment="1">
      <alignment horizontal="center"/>
    </xf>
    <xf numFmtId="0" fontId="0" fillId="0" borderId="0" xfId="0" applyFont="1" applyBorder="1" applyAlignment="1">
      <alignment horizontal="center"/>
    </xf>
    <xf numFmtId="1" fontId="0" fillId="24" borderId="0" xfId="0" applyNumberFormat="1" applyFont="1" applyFill="1" applyBorder="1" applyAlignment="1">
      <alignment horizontal="center"/>
    </xf>
    <xf numFmtId="2" fontId="0" fillId="0" borderId="0" xfId="0" applyNumberFormat="1" applyBorder="1" applyAlignment="1">
      <alignment horizontal="center"/>
    </xf>
    <xf numFmtId="0" fontId="6" fillId="0" borderId="0" xfId="0" applyFont="1" applyAlignment="1">
      <alignment horizontal="center"/>
    </xf>
    <xf numFmtId="2" fontId="6" fillId="0" borderId="0" xfId="0" applyNumberFormat="1" applyFont="1" applyAlignment="1">
      <alignment horizontal="center"/>
    </xf>
    <xf numFmtId="167" fontId="24" fillId="0" borderId="0" xfId="0" applyNumberFormat="1" applyFont="1" applyAlignment="1">
      <alignment horizontal="center"/>
    </xf>
    <xf numFmtId="1" fontId="6" fillId="0" borderId="0" xfId="0" applyNumberFormat="1" applyFont="1" applyAlignment="1">
      <alignment horizontal="center"/>
    </xf>
    <xf numFmtId="0" fontId="24" fillId="24" borderId="0" xfId="0" applyFont="1" applyFill="1" applyBorder="1" applyAlignment="1">
      <alignment horizontal="center"/>
    </xf>
    <xf numFmtId="0" fontId="24" fillId="0" borderId="0" xfId="0" applyFont="1" applyBorder="1" applyAlignment="1">
      <alignment horizontal="center"/>
    </xf>
    <xf numFmtId="1" fontId="24" fillId="0" borderId="0" xfId="0" applyNumberFormat="1" applyFont="1" applyAlignment="1">
      <alignment horizontal="center"/>
    </xf>
    <xf numFmtId="0" fontId="24" fillId="0" borderId="0" xfId="0" applyFont="1" applyAlignment="1">
      <alignment horizontal="center"/>
    </xf>
    <xf numFmtId="1" fontId="6" fillId="0" borderId="14" xfId="0" applyNumberFormat="1" applyFont="1" applyBorder="1" applyAlignment="1">
      <alignment horizontal="center"/>
    </xf>
    <xf numFmtId="1" fontId="0" fillId="0" borderId="0" xfId="0" applyNumberFormat="1"/>
    <xf numFmtId="0" fontId="0" fillId="0" borderId="14" xfId="0" applyBorder="1"/>
    <xf numFmtId="1" fontId="6" fillId="24" borderId="0" xfId="0" applyNumberFormat="1" applyFont="1" applyFill="1" applyBorder="1" applyAlignment="1">
      <alignment horizontal="center"/>
    </xf>
    <xf numFmtId="1" fontId="0" fillId="0" borderId="0" xfId="0" applyNumberFormat="1" applyFont="1" applyFill="1" applyBorder="1" applyAlignment="1">
      <alignment horizontal="center"/>
    </xf>
    <xf numFmtId="168" fontId="0" fillId="0" borderId="0" xfId="0" applyNumberFormat="1" applyFont="1" applyAlignment="1">
      <alignment horizontal="center"/>
    </xf>
    <xf numFmtId="169" fontId="0" fillId="0" borderId="0" xfId="0" applyNumberFormat="1" applyAlignment="1">
      <alignment horizontal="center"/>
    </xf>
    <xf numFmtId="0" fontId="25" fillId="0" borderId="0" xfId="0" applyFont="1"/>
    <xf numFmtId="168" fontId="0" fillId="0" borderId="14" xfId="0" applyNumberFormat="1" applyFont="1" applyBorder="1" applyAlignment="1">
      <alignment horizontal="center"/>
    </xf>
    <xf numFmtId="0" fontId="6" fillId="0" borderId="0" xfId="0" applyFont="1" applyAlignment="1">
      <alignment horizontal="right"/>
    </xf>
    <xf numFmtId="1" fontId="0" fillId="0" borderId="14" xfId="0" applyNumberFormat="1" applyFont="1" applyBorder="1" applyAlignment="1">
      <alignment horizontal="center"/>
    </xf>
    <xf numFmtId="14" fontId="0" fillId="0" borderId="14" xfId="0" applyNumberFormat="1" applyFont="1" applyBorder="1" applyAlignment="1">
      <alignment horizontal="center"/>
    </xf>
    <xf numFmtId="0" fontId="26" fillId="0" borderId="0" xfId="0" applyFont="1" applyBorder="1" applyAlignment="1">
      <alignment horizontal="left"/>
    </xf>
    <xf numFmtId="0" fontId="26" fillId="0" borderId="0" xfId="0" applyFont="1" applyAlignment="1">
      <alignment horizontal="right"/>
    </xf>
    <xf numFmtId="2" fontId="0" fillId="0" borderId="14" xfId="0" applyNumberFormat="1" applyFont="1" applyBorder="1" applyAlignment="1">
      <alignment horizontal="center"/>
    </xf>
    <xf numFmtId="0" fontId="0" fillId="0" borderId="0" xfId="0" applyFont="1" applyBorder="1" applyAlignment="1">
      <alignment horizontal="left"/>
    </xf>
    <xf numFmtId="170" fontId="0" fillId="24" borderId="14" xfId="0" applyNumberFormat="1" applyFont="1" applyFill="1" applyBorder="1" applyAlignment="1">
      <alignment horizontal="center"/>
    </xf>
    <xf numFmtId="0" fontId="26" fillId="0" borderId="0" xfId="0" applyFont="1"/>
    <xf numFmtId="2" fontId="0" fillId="0" borderId="14" xfId="0" applyNumberFormat="1" applyFont="1" applyFill="1" applyBorder="1" applyAlignment="1">
      <alignment horizontal="center"/>
    </xf>
    <xf numFmtId="0" fontId="26" fillId="0" borderId="0" xfId="0" applyFont="1" applyAlignment="1">
      <alignment horizontal="left"/>
    </xf>
    <xf numFmtId="0" fontId="26" fillId="0" borderId="0" xfId="0" applyFont="1" applyBorder="1" applyAlignment="1">
      <alignment horizontal="right"/>
    </xf>
    <xf numFmtId="171" fontId="26" fillId="0" borderId="0" xfId="0" applyNumberFormat="1" applyFont="1" applyBorder="1" applyAlignment="1">
      <alignment horizontal="center"/>
    </xf>
    <xf numFmtId="0" fontId="24" fillId="0" borderId="12" xfId="0" applyFont="1" applyBorder="1" applyAlignment="1">
      <alignment horizontal="center"/>
    </xf>
    <xf numFmtId="0" fontId="19" fillId="0" borderId="0" xfId="0" applyFont="1" applyBorder="1"/>
    <xf numFmtId="166" fontId="24" fillId="0" borderId="0" xfId="0" applyNumberFormat="1" applyFont="1" applyBorder="1" applyAlignment="1">
      <alignment horizontal="center"/>
    </xf>
    <xf numFmtId="0" fontId="0" fillId="0" borderId="0" xfId="0" applyFont="1" applyFill="1" applyBorder="1" applyAlignment="1">
      <alignment horizontal="right"/>
    </xf>
    <xf numFmtId="172" fontId="24" fillId="0" borderId="0" xfId="0" applyNumberFormat="1" applyFont="1" applyAlignment="1">
      <alignment horizontal="center"/>
    </xf>
    <xf numFmtId="0" fontId="26" fillId="0" borderId="0" xfId="0" applyFont="1" applyBorder="1"/>
    <xf numFmtId="0" fontId="0" fillId="0" borderId="0" xfId="0" applyFont="1" applyFill="1" applyAlignment="1">
      <alignment horizontal="right"/>
    </xf>
    <xf numFmtId="166" fontId="24" fillId="0" borderId="0" xfId="0" applyNumberFormat="1" applyFont="1" applyFill="1" applyAlignment="1">
      <alignment horizontal="center"/>
    </xf>
    <xf numFmtId="0" fontId="0" fillId="0" borderId="0" xfId="0" applyFill="1" applyAlignment="1">
      <alignment horizontal="center"/>
    </xf>
    <xf numFmtId="0" fontId="6" fillId="0" borderId="0" xfId="0" applyFont="1" applyFill="1"/>
    <xf numFmtId="49" fontId="24" fillId="0" borderId="0" xfId="0" applyNumberFormat="1" applyFont="1" applyAlignment="1">
      <alignment horizontal="center"/>
    </xf>
    <xf numFmtId="49" fontId="24" fillId="0" borderId="0" xfId="0" applyNumberFormat="1" applyFont="1" applyFill="1" applyAlignment="1">
      <alignment horizontal="center"/>
    </xf>
    <xf numFmtId="1" fontId="24" fillId="0" borderId="0" xfId="0" applyNumberFormat="1" applyFont="1" applyFill="1" applyAlignment="1">
      <alignment horizontal="center"/>
    </xf>
    <xf numFmtId="1" fontId="0" fillId="0" borderId="0" xfId="0" applyNumberFormat="1" applyAlignment="1">
      <alignment horizontal="center"/>
    </xf>
    <xf numFmtId="0" fontId="6" fillId="0" borderId="0" xfId="0" applyFont="1" applyBorder="1" applyAlignment="1">
      <alignment horizontal="center"/>
    </xf>
    <xf numFmtId="0" fontId="27" fillId="0" borderId="0" xfId="0" applyFont="1" applyBorder="1" applyAlignment="1">
      <alignment horizontal="center"/>
    </xf>
    <xf numFmtId="49" fontId="24" fillId="0" borderId="0" xfId="0" applyNumberFormat="1" applyFont="1" applyFill="1" applyBorder="1" applyAlignment="1">
      <alignment horizontal="center"/>
    </xf>
    <xf numFmtId="0" fontId="28" fillId="0" borderId="0" xfId="0" applyNumberFormat="1" applyFont="1" applyAlignment="1">
      <alignment horizontal="center"/>
    </xf>
    <xf numFmtId="172" fontId="24" fillId="0" borderId="0" xfId="0" applyNumberFormat="1" applyFont="1" applyFill="1" applyAlignment="1">
      <alignment horizontal="center"/>
    </xf>
    <xf numFmtId="49" fontId="24" fillId="0" borderId="0" xfId="0" applyNumberFormat="1" applyFont="1" applyBorder="1" applyAlignment="1">
      <alignment horizontal="center"/>
    </xf>
    <xf numFmtId="1" fontId="24" fillId="0" borderId="0" xfId="0" applyNumberFormat="1" applyFont="1" applyFill="1" applyBorder="1" applyAlignment="1">
      <alignment horizontal="center"/>
    </xf>
    <xf numFmtId="173" fontId="24" fillId="0" borderId="0" xfId="0" applyNumberFormat="1" applyFont="1" applyBorder="1" applyAlignment="1">
      <alignment horizontal="center"/>
    </xf>
    <xf numFmtId="0" fontId="29" fillId="0" borderId="14" xfId="0" applyFont="1" applyBorder="1" applyAlignment="1">
      <alignment horizontal="right"/>
    </xf>
    <xf numFmtId="174" fontId="24" fillId="0" borderId="14" xfId="0" applyNumberFormat="1" applyFont="1" applyBorder="1" applyAlignment="1">
      <alignment horizontal="center"/>
    </xf>
    <xf numFmtId="0" fontId="0" fillId="0" borderId="14" xfId="0" applyFont="1" applyBorder="1" applyAlignment="1">
      <alignment horizontal="right"/>
    </xf>
    <xf numFmtId="174" fontId="24" fillId="0" borderId="15" xfId="0" applyNumberFormat="1" applyFont="1" applyBorder="1" applyAlignment="1">
      <alignment horizontal="center"/>
    </xf>
    <xf numFmtId="172" fontId="24" fillId="0" borderId="14" xfId="0" applyNumberFormat="1" applyFont="1" applyBorder="1" applyAlignment="1">
      <alignment horizontal="center"/>
    </xf>
    <xf numFmtId="174" fontId="29" fillId="0" borderId="14" xfId="0" applyNumberFormat="1" applyFont="1" applyBorder="1" applyAlignment="1">
      <alignment horizontal="center"/>
    </xf>
    <xf numFmtId="14" fontId="0" fillId="0" borderId="0" xfId="0" applyNumberFormat="1" applyAlignment="1">
      <alignment horizontal="center"/>
    </xf>
    <xf numFmtId="0" fontId="24" fillId="0" borderId="0" xfId="0" applyFont="1" applyFill="1" applyBorder="1" applyAlignment="1">
      <alignment horizontal="center"/>
    </xf>
    <xf numFmtId="15" fontId="28" fillId="0" borderId="0" xfId="0" applyNumberFormat="1" applyFont="1" applyAlignment="1">
      <alignment horizontal="center"/>
    </xf>
    <xf numFmtId="0" fontId="28" fillId="0" borderId="0" xfId="0" applyFont="1" applyFill="1"/>
    <xf numFmtId="0" fontId="24" fillId="0" borderId="0" xfId="0" applyNumberFormat="1" applyFont="1" applyFill="1" applyBorder="1" applyAlignment="1">
      <alignment horizontal="center"/>
    </xf>
    <xf numFmtId="0" fontId="6" fillId="0" borderId="0" xfId="0" applyFont="1" applyFill="1" applyAlignment="1">
      <alignment horizontal="center"/>
    </xf>
    <xf numFmtId="0" fontId="0" fillId="0" borderId="0" xfId="0" applyFont="1" applyBorder="1" applyAlignment="1">
      <alignment horizontal="right" vertical="center"/>
    </xf>
    <xf numFmtId="175" fontId="24" fillId="0" borderId="16" xfId="0" applyNumberFormat="1" applyFont="1" applyFill="1" applyBorder="1" applyAlignment="1">
      <alignment horizontal="center"/>
    </xf>
    <xf numFmtId="2" fontId="24" fillId="0" borderId="14" xfId="0" applyNumberFormat="1" applyFont="1" applyFill="1" applyBorder="1" applyAlignment="1">
      <alignment horizontal="center"/>
    </xf>
    <xf numFmtId="175" fontId="24" fillId="0" borderId="15" xfId="0" applyNumberFormat="1" applyFont="1" applyFill="1" applyBorder="1" applyAlignment="1">
      <alignment horizontal="center"/>
    </xf>
    <xf numFmtId="175" fontId="24" fillId="0" borderId="14" xfId="0" applyNumberFormat="1" applyFont="1" applyFill="1" applyBorder="1" applyAlignment="1">
      <alignment horizontal="center"/>
    </xf>
    <xf numFmtId="171" fontId="24" fillId="0" borderId="14" xfId="0" applyNumberFormat="1" applyFont="1" applyFill="1" applyBorder="1" applyAlignment="1">
      <alignment horizontal="center"/>
    </xf>
    <xf numFmtId="0" fontId="30" fillId="0" borderId="0" xfId="0" applyFont="1" applyAlignment="1">
      <alignment horizontal="left"/>
    </xf>
    <xf numFmtId="15" fontId="22" fillId="0" borderId="0" xfId="0" applyNumberFormat="1" applyFont="1" applyAlignment="1">
      <alignment horizontal="center"/>
    </xf>
    <xf numFmtId="0" fontId="19" fillId="0" borderId="0" xfId="0" applyFont="1" applyAlignment="1">
      <alignment horizontal="center"/>
    </xf>
    <xf numFmtId="0" fontId="30" fillId="0" borderId="0" xfId="0" applyFont="1" applyAlignment="1">
      <alignment horizontal="right"/>
    </xf>
    <xf numFmtId="0" fontId="30" fillId="0" borderId="0" xfId="0" applyNumberFormat="1" applyFont="1" applyAlignment="1">
      <alignment horizontal="left"/>
    </xf>
    <xf numFmtId="0" fontId="19" fillId="0" borderId="0" xfId="0" applyFont="1"/>
    <xf numFmtId="14" fontId="31" fillId="0" borderId="0" xfId="0" applyNumberFormat="1" applyFont="1" applyAlignment="1">
      <alignment horizontal="center"/>
    </xf>
    <xf numFmtId="0" fontId="20" fillId="0" borderId="0" xfId="0" applyFont="1" applyAlignment="1">
      <alignment horizontal="center"/>
    </xf>
    <xf numFmtId="0" fontId="19" fillId="0" borderId="0" xfId="0" applyFont="1" applyBorder="1" applyAlignment="1">
      <alignment horizontal="center"/>
    </xf>
    <xf numFmtId="0" fontId="34" fillId="0" borderId="0" xfId="0" applyFont="1" applyAlignment="1">
      <alignment horizontal="center"/>
    </xf>
    <xf numFmtId="0" fontId="34" fillId="0" borderId="0" xfId="0" applyFont="1"/>
    <xf numFmtId="0" fontId="35" fillId="0" borderId="0" xfId="0" applyFont="1"/>
    <xf numFmtId="0" fontId="34" fillId="0" borderId="0" xfId="0" applyFont="1" applyAlignment="1">
      <alignment horizontal="left"/>
    </xf>
    <xf numFmtId="0" fontId="34" fillId="0" borderId="0" xfId="0" applyFont="1" applyBorder="1" applyAlignment="1">
      <alignment horizontal="center"/>
    </xf>
    <xf numFmtId="1" fontId="21" fillId="0" borderId="0" xfId="0" applyNumberFormat="1" applyFont="1" applyAlignment="1">
      <alignment horizontal="center"/>
    </xf>
    <xf numFmtId="0" fontId="21" fillId="0" borderId="0" xfId="0" applyFont="1" applyBorder="1"/>
    <xf numFmtId="0" fontId="21" fillId="0" borderId="0" xfId="0" applyFont="1" applyBorder="1" applyAlignment="1">
      <alignment horizontal="center"/>
    </xf>
    <xf numFmtId="0" fontId="35" fillId="0" borderId="0" xfId="0" applyFont="1" applyBorder="1"/>
    <xf numFmtId="172" fontId="21" fillId="0" borderId="0" xfId="0" applyNumberFormat="1" applyFont="1" applyBorder="1"/>
    <xf numFmtId="0" fontId="22" fillId="0" borderId="0" xfId="0" applyFont="1" applyAlignment="1">
      <alignment horizontal="center"/>
    </xf>
    <xf numFmtId="0" fontId="36" fillId="0" borderId="0" xfId="0" applyFont="1" applyAlignment="1">
      <alignment horizontal="right"/>
    </xf>
    <xf numFmtId="172" fontId="36" fillId="0" borderId="0" xfId="0" applyNumberFormat="1" applyFont="1"/>
    <xf numFmtId="0" fontId="37" fillId="0" borderId="0" xfId="0" applyFont="1" applyAlignment="1">
      <alignment horizontal="left"/>
    </xf>
    <xf numFmtId="0" fontId="21" fillId="0" borderId="0" xfId="0" applyFont="1" applyFill="1" applyAlignment="1">
      <alignment horizontal="center"/>
    </xf>
    <xf numFmtId="0" fontId="38" fillId="0" borderId="0" xfId="0" applyFont="1" applyAlignment="1">
      <alignment horizontal="center"/>
    </xf>
    <xf numFmtId="0" fontId="21" fillId="0" borderId="0" xfId="0" applyFont="1" applyFill="1"/>
    <xf numFmtId="0" fontId="35" fillId="0" borderId="0" xfId="0" applyFont="1" applyFill="1" applyAlignment="1">
      <alignment horizontal="left"/>
    </xf>
    <xf numFmtId="0" fontId="35" fillId="0" borderId="0" xfId="0" applyFont="1" applyFill="1"/>
    <xf numFmtId="0" fontId="21" fillId="0" borderId="0" xfId="0" applyFont="1" applyFill="1" applyBorder="1"/>
    <xf numFmtId="0" fontId="21" fillId="0" borderId="0" xfId="0" applyFont="1" applyFill="1" applyBorder="1" applyAlignment="1">
      <alignment horizontal="center"/>
    </xf>
    <xf numFmtId="0" fontId="35" fillId="0" borderId="0" xfId="0" applyFont="1" applyFill="1" applyBorder="1" applyAlignment="1">
      <alignment horizontal="center"/>
    </xf>
    <xf numFmtId="172" fontId="21" fillId="0" borderId="0" xfId="0" applyNumberFormat="1" applyFont="1" applyBorder="1" applyAlignment="1">
      <alignment horizontal="center"/>
    </xf>
    <xf numFmtId="0" fontId="21" fillId="0" borderId="0" xfId="0" applyFont="1" applyAlignment="1">
      <alignment horizontal="left"/>
    </xf>
    <xf numFmtId="0" fontId="35" fillId="0" borderId="0" xfId="0" applyFont="1" applyAlignment="1">
      <alignment horizontal="left"/>
    </xf>
    <xf numFmtId="172" fontId="39" fillId="0" borderId="17" xfId="0" applyNumberFormat="1" applyFont="1" applyBorder="1"/>
    <xf numFmtId="16" fontId="35" fillId="0" borderId="0" xfId="0" applyNumberFormat="1" applyFont="1"/>
    <xf numFmtId="1" fontId="21" fillId="0" borderId="0" xfId="0" applyNumberFormat="1" applyFont="1" applyAlignment="1">
      <alignment horizontal="right"/>
    </xf>
    <xf numFmtId="1" fontId="35" fillId="24" borderId="0" xfId="0" applyNumberFormat="1" applyFont="1" applyFill="1" applyAlignment="1">
      <alignment horizontal="center"/>
    </xf>
    <xf numFmtId="1" fontId="21" fillId="0" borderId="0" xfId="0" applyNumberFormat="1" applyFont="1"/>
    <xf numFmtId="0" fontId="21" fillId="0" borderId="0" xfId="0" applyFont="1" applyBorder="1" applyAlignment="1">
      <alignment horizontal="right"/>
    </xf>
    <xf numFmtId="1" fontId="21" fillId="0" borderId="0" xfId="0" applyNumberFormat="1" applyFont="1" applyBorder="1" applyAlignment="1">
      <alignment horizontal="center"/>
    </xf>
    <xf numFmtId="172" fontId="40" fillId="0" borderId="0" xfId="0" applyNumberFormat="1" applyFont="1" applyFill="1" applyBorder="1" applyAlignment="1">
      <alignment horizontal="center"/>
    </xf>
    <xf numFmtId="0" fontId="35" fillId="0" borderId="0" xfId="0" applyFont="1" applyAlignment="1">
      <alignment horizontal="center"/>
    </xf>
    <xf numFmtId="0" fontId="41" fillId="0" borderId="0" xfId="0" applyFont="1" applyAlignment="1">
      <alignment horizontal="right"/>
    </xf>
    <xf numFmtId="0" fontId="35" fillId="0" borderId="0" xfId="0" applyFont="1" applyBorder="1" applyAlignment="1">
      <alignment horizontal="center"/>
    </xf>
    <xf numFmtId="0" fontId="41" fillId="0" borderId="0" xfId="0" applyFont="1" applyAlignment="1">
      <alignment horizontal="left"/>
    </xf>
    <xf numFmtId="0" fontId="22" fillId="0" borderId="0" xfId="0" applyFont="1" applyAlignment="1">
      <alignment horizontal="left"/>
    </xf>
    <xf numFmtId="1" fontId="34" fillId="0" borderId="0" xfId="0" applyNumberFormat="1" applyFont="1" applyAlignment="1">
      <alignment horizontal="center"/>
    </xf>
    <xf numFmtId="172" fontId="21" fillId="0" borderId="0" xfId="0" applyNumberFormat="1" applyFont="1" applyAlignment="1">
      <alignment horizontal="center"/>
    </xf>
    <xf numFmtId="0" fontId="35" fillId="0" borderId="0" xfId="0" applyFont="1" applyBorder="1" applyAlignment="1">
      <alignment horizontal="left"/>
    </xf>
    <xf numFmtId="1" fontId="21" fillId="0" borderId="0" xfId="0" applyNumberFormat="1" applyFont="1" applyFill="1" applyAlignment="1">
      <alignment horizontal="center"/>
    </xf>
    <xf numFmtId="1" fontId="21" fillId="0" borderId="0" xfId="0" applyNumberFormat="1" applyFont="1" applyAlignment="1">
      <alignment horizontal="left"/>
    </xf>
    <xf numFmtId="0" fontId="21" fillId="0" borderId="0" xfId="0" applyFont="1" applyFill="1" applyAlignment="1">
      <alignment horizontal="right"/>
    </xf>
    <xf numFmtId="169" fontId="35" fillId="24" borderId="0" xfId="0" applyNumberFormat="1" applyFont="1" applyFill="1" applyAlignment="1">
      <alignment horizontal="center"/>
    </xf>
    <xf numFmtId="0" fontId="21" fillId="0" borderId="0" xfId="0" applyFont="1" applyBorder="1" applyAlignment="1">
      <alignment horizontal="left"/>
    </xf>
    <xf numFmtId="0" fontId="40" fillId="0" borderId="0" xfId="0" applyFont="1" applyBorder="1" applyAlignment="1">
      <alignment horizontal="right"/>
    </xf>
    <xf numFmtId="10" fontId="35" fillId="24" borderId="0" xfId="45" applyNumberFormat="1" applyFont="1" applyFill="1" applyBorder="1" applyAlignment="1" applyProtection="1">
      <alignment horizontal="center"/>
    </xf>
    <xf numFmtId="176" fontId="40" fillId="14" borderId="0" xfId="28" applyNumberFormat="1" applyFont="1" applyFill="1" applyBorder="1" applyAlignment="1" applyProtection="1">
      <alignment horizontal="center"/>
    </xf>
    <xf numFmtId="0" fontId="40" fillId="0" borderId="0" xfId="0" applyFont="1" applyBorder="1" applyAlignment="1">
      <alignment horizontal="left"/>
    </xf>
    <xf numFmtId="0" fontId="40" fillId="0" borderId="0" xfId="0" applyFont="1" applyBorder="1"/>
    <xf numFmtId="172" fontId="40" fillId="0" borderId="0" xfId="0" applyNumberFormat="1" applyFont="1" applyBorder="1" applyAlignment="1">
      <alignment horizontal="right"/>
    </xf>
    <xf numFmtId="172" fontId="40" fillId="0" borderId="0" xfId="0" applyNumberFormat="1" applyFont="1" applyBorder="1" applyAlignment="1">
      <alignment horizontal="center"/>
    </xf>
    <xf numFmtId="0" fontId="40" fillId="0" borderId="0" xfId="0" applyFont="1" applyBorder="1" applyAlignment="1">
      <alignment horizontal="center"/>
    </xf>
    <xf numFmtId="9" fontId="35" fillId="0" borderId="0" xfId="45" applyFont="1" applyFill="1" applyBorder="1" applyAlignment="1" applyProtection="1">
      <alignment horizontal="center"/>
    </xf>
    <xf numFmtId="0" fontId="0" fillId="0" borderId="0" xfId="0" applyFont="1" applyAlignment="1">
      <alignment horizontal="left"/>
    </xf>
    <xf numFmtId="0" fontId="42" fillId="0" borderId="0" xfId="0" applyFont="1" applyBorder="1" applyAlignment="1">
      <alignment horizontal="center"/>
    </xf>
    <xf numFmtId="171" fontId="40" fillId="0" borderId="0" xfId="0" applyNumberFormat="1" applyFont="1" applyAlignment="1">
      <alignment horizontal="right"/>
    </xf>
    <xf numFmtId="3" fontId="40" fillId="0" borderId="0" xfId="0" applyNumberFormat="1" applyFont="1" applyFill="1" applyBorder="1" applyAlignment="1">
      <alignment horizontal="right"/>
    </xf>
    <xf numFmtId="171" fontId="21" fillId="0" borderId="0" xfId="0" applyNumberFormat="1" applyFont="1" applyAlignment="1">
      <alignment horizontal="center"/>
    </xf>
    <xf numFmtId="171" fontId="43" fillId="0" borderId="0" xfId="0" applyNumberFormat="1" applyFont="1"/>
    <xf numFmtId="171" fontId="21" fillId="0" borderId="0" xfId="0" applyNumberFormat="1" applyFont="1" applyAlignment="1">
      <alignment horizontal="center" vertical="center"/>
    </xf>
    <xf numFmtId="177" fontId="21" fillId="0" borderId="0" xfId="0" applyNumberFormat="1" applyFont="1" applyAlignment="1">
      <alignment horizontal="left"/>
    </xf>
    <xf numFmtId="176" fontId="21" fillId="0" borderId="0" xfId="0" applyNumberFormat="1" applyFont="1" applyBorder="1"/>
    <xf numFmtId="165" fontId="21" fillId="0" borderId="0" xfId="0" applyNumberFormat="1" applyFont="1"/>
    <xf numFmtId="171" fontId="40" fillId="0" borderId="0" xfId="0" applyNumberFormat="1" applyFont="1" applyBorder="1" applyAlignment="1">
      <alignment horizontal="center"/>
    </xf>
    <xf numFmtId="172" fontId="21" fillId="15" borderId="0" xfId="0" applyNumberFormat="1" applyFont="1" applyFill="1" applyBorder="1" applyAlignment="1">
      <alignment horizontal="center"/>
    </xf>
    <xf numFmtId="176" fontId="40" fillId="0" borderId="0" xfId="28" applyNumberFormat="1" applyFont="1" applyFill="1" applyBorder="1" applyAlignment="1" applyProtection="1">
      <alignment horizontal="center"/>
    </xf>
    <xf numFmtId="171" fontId="21" fillId="0" borderId="0" xfId="0" applyNumberFormat="1" applyFont="1" applyBorder="1" applyAlignment="1">
      <alignment horizontal="center"/>
    </xf>
    <xf numFmtId="14" fontId="40" fillId="0" borderId="0" xfId="0" applyNumberFormat="1" applyFont="1" applyBorder="1" applyAlignment="1">
      <alignment horizontal="right"/>
    </xf>
    <xf numFmtId="0" fontId="40" fillId="0" borderId="0" xfId="0" applyFont="1" applyAlignment="1">
      <alignment horizontal="center"/>
    </xf>
    <xf numFmtId="0" fontId="40" fillId="0" borderId="0" xfId="0" applyFont="1"/>
    <xf numFmtId="2" fontId="21" fillId="0" borderId="0" xfId="0" applyNumberFormat="1" applyFont="1" applyBorder="1" applyAlignment="1">
      <alignment horizontal="center"/>
    </xf>
    <xf numFmtId="1" fontId="21" fillId="0" borderId="0" xfId="0" applyNumberFormat="1" applyFont="1" applyBorder="1"/>
    <xf numFmtId="0" fontId="44" fillId="0" borderId="0" xfId="0" applyFont="1" applyBorder="1" applyAlignment="1">
      <alignment horizontal="center"/>
    </xf>
    <xf numFmtId="0" fontId="45" fillId="0" borderId="0" xfId="0" applyFont="1" applyBorder="1" applyAlignment="1">
      <alignment horizontal="center"/>
    </xf>
    <xf numFmtId="1" fontId="40" fillId="0" borderId="0" xfId="0" applyNumberFormat="1" applyFont="1" applyBorder="1" applyAlignment="1">
      <alignment horizontal="center"/>
    </xf>
    <xf numFmtId="0" fontId="34" fillId="0" borderId="0" xfId="0" applyFont="1" applyBorder="1" applyAlignment="1">
      <alignment horizontal="left"/>
    </xf>
    <xf numFmtId="2" fontId="40" fillId="0" borderId="0" xfId="0" applyNumberFormat="1" applyFont="1" applyBorder="1" applyAlignment="1">
      <alignment horizontal="center"/>
    </xf>
    <xf numFmtId="0" fontId="40" fillId="0" borderId="10" xfId="0" applyFont="1" applyBorder="1" applyAlignment="1">
      <alignment horizontal="center"/>
    </xf>
    <xf numFmtId="0" fontId="40" fillId="0" borderId="10" xfId="0" applyFont="1" applyBorder="1"/>
    <xf numFmtId="0" fontId="21" fillId="0" borderId="10" xfId="0" applyFont="1" applyBorder="1"/>
    <xf numFmtId="0" fontId="21" fillId="0" borderId="10" xfId="0" applyFont="1" applyBorder="1" applyAlignment="1">
      <alignment horizontal="right"/>
    </xf>
    <xf numFmtId="2" fontId="34" fillId="0" borderId="10" xfId="0" applyNumberFormat="1" applyFont="1" applyBorder="1" applyAlignment="1">
      <alignment horizontal="center"/>
    </xf>
    <xf numFmtId="0" fontId="34" fillId="0" borderId="10" xfId="0" applyFont="1" applyBorder="1" applyAlignment="1">
      <alignment horizontal="left"/>
    </xf>
    <xf numFmtId="0" fontId="21" fillId="0" borderId="10" xfId="0" applyFont="1" applyBorder="1" applyAlignment="1">
      <alignment horizontal="center"/>
    </xf>
    <xf numFmtId="172" fontId="40" fillId="0" borderId="10" xfId="0" applyNumberFormat="1" applyFont="1" applyBorder="1" applyAlignment="1">
      <alignment horizontal="center"/>
    </xf>
    <xf numFmtId="2" fontId="40" fillId="0" borderId="10" xfId="0" applyNumberFormat="1" applyFont="1" applyBorder="1" applyAlignment="1">
      <alignment horizontal="center"/>
    </xf>
    <xf numFmtId="171" fontId="46" fillId="0" borderId="18" xfId="0" applyNumberFormat="1" applyFont="1" applyBorder="1" applyAlignment="1">
      <alignment horizontal="right"/>
    </xf>
    <xf numFmtId="0" fontId="21" fillId="0" borderId="18" xfId="0" applyFont="1" applyBorder="1"/>
    <xf numFmtId="0" fontId="40" fillId="0" borderId="18" xfId="0" applyFont="1" applyBorder="1" applyAlignment="1">
      <alignment horizontal="left"/>
    </xf>
    <xf numFmtId="0" fontId="22" fillId="0" borderId="18" xfId="0" applyFont="1" applyBorder="1" applyAlignment="1">
      <alignment horizontal="center"/>
    </xf>
    <xf numFmtId="0" fontId="37" fillId="0" borderId="0" xfId="0" applyFont="1" applyFill="1" applyAlignment="1">
      <alignment horizontal="center"/>
    </xf>
    <xf numFmtId="0" fontId="22" fillId="0" borderId="0" xfId="0" applyFont="1" applyBorder="1" applyAlignment="1">
      <alignment horizontal="center"/>
    </xf>
    <xf numFmtId="0" fontId="37" fillId="0" borderId="0" xfId="0" applyFont="1" applyAlignment="1">
      <alignment horizontal="center"/>
    </xf>
    <xf numFmtId="0" fontId="37" fillId="0" borderId="18" xfId="0" applyFont="1" applyFill="1" applyBorder="1" applyAlignment="1">
      <alignment horizontal="center"/>
    </xf>
    <xf numFmtId="0" fontId="37" fillId="0" borderId="18" xfId="0" applyFont="1" applyBorder="1" applyAlignment="1">
      <alignment horizontal="center"/>
    </xf>
    <xf numFmtId="0" fontId="22" fillId="0" borderId="10" xfId="0" applyFont="1" applyBorder="1" applyAlignment="1">
      <alignment horizontal="center" wrapText="1"/>
    </xf>
    <xf numFmtId="0" fontId="22" fillId="0" borderId="10" xfId="0" applyFont="1" applyBorder="1" applyAlignment="1">
      <alignment horizontal="center"/>
    </xf>
    <xf numFmtId="0" fontId="22" fillId="0" borderId="19" xfId="0" applyFont="1" applyBorder="1" applyAlignment="1">
      <alignment horizontal="center"/>
    </xf>
    <xf numFmtId="0" fontId="37" fillId="0" borderId="10" xfId="0" applyFont="1" applyFill="1" applyBorder="1" applyAlignment="1">
      <alignment horizontal="center"/>
    </xf>
    <xf numFmtId="0" fontId="37" fillId="0" borderId="10" xfId="0" applyFont="1" applyBorder="1" applyAlignment="1">
      <alignment horizontal="center"/>
    </xf>
    <xf numFmtId="0" fontId="37" fillId="0" borderId="19" xfId="0" applyFont="1" applyFill="1" applyBorder="1" applyAlignment="1">
      <alignment horizontal="center"/>
    </xf>
    <xf numFmtId="0" fontId="37" fillId="0" borderId="19" xfId="0" applyFont="1" applyBorder="1" applyAlignment="1">
      <alignment horizontal="center"/>
    </xf>
    <xf numFmtId="0" fontId="37" fillId="0" borderId="0" xfId="0" applyFont="1" applyFill="1" applyBorder="1" applyAlignment="1">
      <alignment horizontal="center"/>
    </xf>
    <xf numFmtId="0" fontId="37" fillId="0" borderId="0" xfId="0" applyFont="1" applyBorder="1" applyAlignment="1">
      <alignment horizontal="center"/>
    </xf>
    <xf numFmtId="172" fontId="41" fillId="0" borderId="0" xfId="0" applyNumberFormat="1" applyFont="1" applyFill="1" applyAlignment="1">
      <alignment horizontal="center"/>
    </xf>
    <xf numFmtId="172" fontId="22" fillId="0" borderId="0" xfId="0" applyNumberFormat="1" applyFont="1" applyAlignment="1">
      <alignment horizontal="center"/>
    </xf>
    <xf numFmtId="0" fontId="22" fillId="0" borderId="0" xfId="0" applyFont="1"/>
    <xf numFmtId="1" fontId="22" fillId="0" borderId="0" xfId="0" applyNumberFormat="1" applyFont="1" applyAlignment="1">
      <alignment horizontal="center"/>
    </xf>
    <xf numFmtId="0" fontId="21" fillId="0" borderId="18" xfId="0" applyFont="1" applyBorder="1" applyAlignment="1">
      <alignment horizontal="left"/>
    </xf>
    <xf numFmtId="172" fontId="47" fillId="0" borderId="0" xfId="0" applyNumberFormat="1" applyFont="1" applyFill="1"/>
    <xf numFmtId="172" fontId="21" fillId="0" borderId="0" xfId="29" applyNumberFormat="1" applyFont="1" applyFill="1" applyBorder="1" applyAlignment="1" applyProtection="1">
      <alignment horizontal="left"/>
    </xf>
    <xf numFmtId="172" fontId="22" fillId="0" borderId="0" xfId="0" applyNumberFormat="1" applyFont="1" applyFill="1" applyAlignment="1">
      <alignment horizontal="left"/>
    </xf>
    <xf numFmtId="0" fontId="35" fillId="0" borderId="18" xfId="0" applyFont="1" applyFill="1" applyBorder="1" applyAlignment="1">
      <alignment horizontal="center"/>
    </xf>
    <xf numFmtId="2" fontId="21" fillId="0" borderId="18" xfId="0" applyNumberFormat="1" applyFont="1" applyBorder="1" applyAlignment="1">
      <alignment horizontal="center"/>
    </xf>
    <xf numFmtId="172" fontId="41" fillId="0" borderId="0" xfId="0" applyNumberFormat="1" applyFont="1" applyFill="1" applyBorder="1" applyAlignment="1">
      <alignment horizontal="center"/>
    </xf>
    <xf numFmtId="172" fontId="21" fillId="0" borderId="0" xfId="0" applyNumberFormat="1" applyFont="1" applyFill="1" applyBorder="1" applyAlignment="1">
      <alignment horizontal="center"/>
    </xf>
    <xf numFmtId="1" fontId="22" fillId="0" borderId="0" xfId="0" applyNumberFormat="1" applyFont="1" applyBorder="1" applyAlignment="1">
      <alignment horizontal="center"/>
    </xf>
    <xf numFmtId="0" fontId="37" fillId="0" borderId="0" xfId="0" applyFont="1" applyBorder="1" applyAlignment="1">
      <alignment horizontal="right"/>
    </xf>
    <xf numFmtId="172" fontId="35" fillId="0" borderId="0" xfId="0" applyNumberFormat="1" applyFont="1" applyFill="1" applyAlignment="1">
      <alignment horizontal="center"/>
    </xf>
    <xf numFmtId="172" fontId="21" fillId="0" borderId="0" xfId="0" applyNumberFormat="1" applyFont="1" applyFill="1" applyAlignment="1">
      <alignment horizontal="center"/>
    </xf>
    <xf numFmtId="172" fontId="35" fillId="0" borderId="18" xfId="0" applyNumberFormat="1" applyFont="1" applyFill="1" applyBorder="1" applyAlignment="1">
      <alignment horizontal="center"/>
    </xf>
    <xf numFmtId="2" fontId="35" fillId="0" borderId="18" xfId="0" applyNumberFormat="1" applyFont="1" applyFill="1" applyBorder="1" applyAlignment="1">
      <alignment horizontal="center"/>
    </xf>
    <xf numFmtId="0" fontId="22" fillId="0" borderId="0" xfId="0" applyFont="1" applyAlignment="1">
      <alignment horizontal="right"/>
    </xf>
    <xf numFmtId="1" fontId="22" fillId="0" borderId="20" xfId="0" applyNumberFormat="1" applyFont="1" applyBorder="1" applyAlignment="1">
      <alignment horizontal="center"/>
    </xf>
    <xf numFmtId="1" fontId="22" fillId="0" borderId="21" xfId="0" applyNumberFormat="1" applyFont="1" applyBorder="1" applyAlignment="1">
      <alignment horizontal="center"/>
    </xf>
    <xf numFmtId="0" fontId="22" fillId="0" borderId="10" xfId="0" applyFont="1" applyBorder="1" applyAlignment="1">
      <alignment horizontal="left"/>
    </xf>
    <xf numFmtId="172" fontId="22" fillId="0" borderId="10" xfId="0" applyNumberFormat="1" applyFont="1" applyBorder="1" applyAlignment="1">
      <alignment horizontal="center"/>
    </xf>
    <xf numFmtId="0" fontId="21" fillId="0" borderId="19" xfId="0" applyFont="1" applyBorder="1"/>
    <xf numFmtId="172" fontId="35" fillId="0" borderId="10" xfId="0" applyNumberFormat="1" applyFont="1" applyFill="1" applyBorder="1"/>
    <xf numFmtId="172" fontId="21" fillId="0" borderId="10" xfId="29" applyNumberFormat="1" applyFont="1" applyFill="1" applyBorder="1" applyAlignment="1" applyProtection="1">
      <alignment horizontal="center"/>
    </xf>
    <xf numFmtId="0" fontId="35" fillId="0" borderId="10" xfId="0" applyFont="1" applyBorder="1"/>
    <xf numFmtId="0" fontId="35" fillId="0" borderId="19" xfId="0" applyFont="1" applyFill="1" applyBorder="1" applyAlignment="1">
      <alignment horizontal="center"/>
    </xf>
    <xf numFmtId="1" fontId="21" fillId="0" borderId="10" xfId="0" applyNumberFormat="1" applyFont="1" applyBorder="1" applyAlignment="1">
      <alignment horizontal="center"/>
    </xf>
    <xf numFmtId="0" fontId="35" fillId="0" borderId="10" xfId="0" applyFont="1" applyBorder="1" applyAlignment="1">
      <alignment horizontal="center"/>
    </xf>
    <xf numFmtId="2" fontId="21" fillId="0" borderId="19" xfId="0" applyNumberFormat="1" applyFont="1" applyBorder="1" applyAlignment="1">
      <alignment horizontal="center"/>
    </xf>
    <xf numFmtId="0" fontId="22" fillId="0" borderId="0" xfId="0" applyFont="1" applyBorder="1" applyAlignment="1">
      <alignment horizontal="left"/>
    </xf>
    <xf numFmtId="0" fontId="22" fillId="0" borderId="0" xfId="0" applyNumberFormat="1" applyFont="1" applyFill="1" applyBorder="1" applyAlignment="1">
      <alignment horizontal="center"/>
    </xf>
    <xf numFmtId="172" fontId="35" fillId="0" borderId="0" xfId="0" applyNumberFormat="1" applyFont="1" applyFill="1" applyBorder="1"/>
    <xf numFmtId="172" fontId="21" fillId="0" borderId="0" xfId="29" applyNumberFormat="1" applyFont="1" applyFill="1" applyBorder="1" applyAlignment="1" applyProtection="1">
      <alignment horizontal="center"/>
    </xf>
    <xf numFmtId="0" fontId="21" fillId="0" borderId="0" xfId="0" applyNumberFormat="1" applyFont="1" applyFill="1" applyBorder="1" applyAlignment="1">
      <alignment horizontal="center"/>
    </xf>
    <xf numFmtId="2" fontId="35" fillId="0" borderId="0" xfId="0" applyNumberFormat="1" applyFont="1" applyFill="1" applyAlignment="1">
      <alignment horizontal="center"/>
    </xf>
    <xf numFmtId="172" fontId="40" fillId="0" borderId="18" xfId="0" applyNumberFormat="1" applyFont="1" applyFill="1" applyBorder="1" applyAlignment="1">
      <alignment horizontal="center"/>
    </xf>
    <xf numFmtId="172" fontId="40" fillId="0" borderId="0" xfId="0" applyNumberFormat="1" applyFont="1" applyFill="1" applyAlignment="1">
      <alignment horizontal="center"/>
    </xf>
    <xf numFmtId="0" fontId="34" fillId="0" borderId="0" xfId="0" applyFont="1" applyFill="1"/>
    <xf numFmtId="1" fontId="34" fillId="0" borderId="0" xfId="0" applyNumberFormat="1" applyFont="1" applyFill="1" applyAlignment="1">
      <alignment horizontal="center"/>
    </xf>
    <xf numFmtId="0" fontId="34" fillId="0" borderId="0" xfId="0" applyFont="1" applyFill="1" applyAlignment="1">
      <alignment horizontal="left"/>
    </xf>
    <xf numFmtId="1" fontId="48" fillId="0" borderId="10" xfId="0" applyNumberFormat="1" applyFont="1" applyFill="1" applyBorder="1" applyAlignment="1">
      <alignment horizontal="center"/>
    </xf>
    <xf numFmtId="0" fontId="22" fillId="0" borderId="19" xfId="0" applyFont="1" applyBorder="1"/>
    <xf numFmtId="172" fontId="22" fillId="0" borderId="10" xfId="0" applyNumberFormat="1" applyFont="1" applyFill="1" applyBorder="1"/>
    <xf numFmtId="172" fontId="22" fillId="0" borderId="10" xfId="29" applyNumberFormat="1" applyFont="1" applyFill="1" applyBorder="1" applyAlignment="1" applyProtection="1">
      <alignment horizontal="center"/>
    </xf>
    <xf numFmtId="0" fontId="37" fillId="0" borderId="10" xfId="0" applyFont="1" applyBorder="1"/>
    <xf numFmtId="0" fontId="22" fillId="0" borderId="10" xfId="0" applyFont="1" applyBorder="1"/>
    <xf numFmtId="1" fontId="22" fillId="0" borderId="10" xfId="0" applyNumberFormat="1" applyFont="1" applyBorder="1" applyAlignment="1">
      <alignment horizontal="center"/>
    </xf>
    <xf numFmtId="2" fontId="22" fillId="0" borderId="19" xfId="0" applyNumberFormat="1" applyFont="1" applyBorder="1" applyAlignment="1">
      <alignment horizontal="center"/>
    </xf>
    <xf numFmtId="1" fontId="48" fillId="0" borderId="0" xfId="0" applyNumberFormat="1" applyFont="1" applyFill="1" applyAlignment="1">
      <alignment horizontal="center"/>
    </xf>
    <xf numFmtId="0" fontId="22" fillId="0" borderId="18" xfId="0" applyFont="1" applyBorder="1"/>
    <xf numFmtId="172" fontId="22" fillId="0" borderId="0" xfId="0" applyNumberFormat="1" applyFont="1" applyFill="1"/>
    <xf numFmtId="172" fontId="22" fillId="0" borderId="0" xfId="29" applyNumberFormat="1" applyFont="1" applyFill="1" applyBorder="1" applyAlignment="1" applyProtection="1">
      <alignment horizontal="center"/>
    </xf>
    <xf numFmtId="0" fontId="37" fillId="0" borderId="0" xfId="0" applyFont="1"/>
    <xf numFmtId="2" fontId="22" fillId="0" borderId="18" xfId="0" applyNumberFormat="1" applyFont="1" applyBorder="1" applyAlignment="1">
      <alignment horizontal="center"/>
    </xf>
    <xf numFmtId="0" fontId="22" fillId="0" borderId="0" xfId="0" applyFont="1" applyFill="1" applyAlignment="1">
      <alignment horizontal="center"/>
    </xf>
    <xf numFmtId="0" fontId="21" fillId="0" borderId="18" xfId="0" applyFont="1" applyFill="1" applyBorder="1"/>
    <xf numFmtId="0" fontId="22" fillId="0" borderId="0" xfId="0" applyFont="1" applyFill="1" applyAlignment="1">
      <alignment horizontal="left"/>
    </xf>
    <xf numFmtId="0" fontId="22" fillId="0" borderId="22" xfId="0" applyFont="1" applyFill="1" applyBorder="1" applyAlignment="1">
      <alignment horizontal="left"/>
    </xf>
    <xf numFmtId="0" fontId="22" fillId="0" borderId="18" xfId="0" applyFont="1" applyFill="1" applyBorder="1" applyAlignment="1">
      <alignment horizontal="left"/>
    </xf>
    <xf numFmtId="172" fontId="49" fillId="0" borderId="0" xfId="0" applyNumberFormat="1" applyFont="1" applyFill="1" applyAlignment="1">
      <alignment horizontal="right"/>
    </xf>
    <xf numFmtId="172" fontId="22" fillId="0" borderId="0" xfId="0" applyNumberFormat="1" applyFont="1" applyFill="1" applyAlignment="1">
      <alignment horizontal="center"/>
    </xf>
    <xf numFmtId="2" fontId="22" fillId="0" borderId="0" xfId="0" applyNumberFormat="1" applyFont="1" applyFill="1"/>
    <xf numFmtId="1" fontId="21" fillId="0" borderId="0" xfId="0" applyNumberFormat="1" applyFont="1" applyFill="1" applyBorder="1" applyAlignment="1">
      <alignment horizontal="center"/>
    </xf>
    <xf numFmtId="2" fontId="49" fillId="0" borderId="0" xfId="0" applyNumberFormat="1" applyFont="1" applyFill="1" applyBorder="1"/>
    <xf numFmtId="172" fontId="22" fillId="0" borderId="0" xfId="0" applyNumberFormat="1" applyFont="1" applyFill="1" applyBorder="1" applyAlignment="1">
      <alignment horizontal="center"/>
    </xf>
    <xf numFmtId="2" fontId="50" fillId="0" borderId="0" xfId="0" applyNumberFormat="1" applyFont="1" applyFill="1" applyBorder="1" applyAlignment="1">
      <alignment horizontal="center"/>
    </xf>
    <xf numFmtId="2" fontId="35" fillId="0" borderId="0" xfId="0" applyNumberFormat="1" applyFont="1" applyFill="1" applyBorder="1" applyAlignment="1">
      <alignment horizontal="center"/>
    </xf>
    <xf numFmtId="0" fontId="40" fillId="0" borderId="0" xfId="0" applyFont="1" applyFill="1" applyAlignment="1">
      <alignment horizontal="center"/>
    </xf>
    <xf numFmtId="2" fontId="21" fillId="0" borderId="0" xfId="0" applyNumberFormat="1" applyFont="1" applyFill="1" applyAlignment="1">
      <alignment horizontal="center"/>
    </xf>
    <xf numFmtId="0" fontId="40" fillId="0" borderId="0" xfId="0" applyFont="1" applyFill="1"/>
    <xf numFmtId="1" fontId="40" fillId="0" borderId="0" xfId="0" applyNumberFormat="1" applyFont="1" applyFill="1" applyAlignment="1">
      <alignment horizontal="center"/>
    </xf>
    <xf numFmtId="0" fontId="21" fillId="0" borderId="0" xfId="0" applyFont="1" applyFill="1" applyAlignment="1">
      <alignment horizontal="left" wrapText="1"/>
    </xf>
    <xf numFmtId="0" fontId="21" fillId="0" borderId="0" xfId="0" applyFont="1" applyFill="1" applyAlignment="1">
      <alignment horizontal="left"/>
    </xf>
    <xf numFmtId="0" fontId="51" fillId="0" borderId="0" xfId="0" applyFont="1" applyFill="1" applyAlignment="1">
      <alignment horizontal="left"/>
    </xf>
    <xf numFmtId="0" fontId="51" fillId="0" borderId="0" xfId="0" applyFont="1" applyFill="1" applyAlignment="1">
      <alignment horizontal="left" wrapText="1"/>
    </xf>
    <xf numFmtId="49" fontId="21" fillId="0" borderId="0" xfId="0" applyNumberFormat="1" applyFont="1" applyFill="1" applyBorder="1" applyAlignment="1">
      <alignment horizontal="center"/>
    </xf>
    <xf numFmtId="0" fontId="40" fillId="0" borderId="0" xfId="0" applyFont="1" applyFill="1" applyBorder="1" applyAlignment="1">
      <alignment horizontal="center"/>
    </xf>
    <xf numFmtId="0" fontId="51" fillId="0" borderId="0" xfId="0" applyFont="1" applyFill="1" applyBorder="1" applyAlignment="1">
      <alignment horizontal="left" wrapText="1"/>
    </xf>
    <xf numFmtId="49" fontId="21" fillId="0" borderId="22" xfId="0" applyNumberFormat="1" applyFont="1" applyFill="1" applyBorder="1" applyAlignment="1">
      <alignment horizontal="center"/>
    </xf>
    <xf numFmtId="172" fontId="35" fillId="0" borderId="0" xfId="0" applyNumberFormat="1" applyFont="1" applyFill="1" applyBorder="1" applyAlignment="1">
      <alignment horizontal="center"/>
    </xf>
    <xf numFmtId="1" fontId="21" fillId="0" borderId="22" xfId="0" applyNumberFormat="1" applyFont="1" applyFill="1" applyBorder="1" applyAlignment="1">
      <alignment horizontal="center"/>
    </xf>
    <xf numFmtId="0" fontId="40" fillId="0" borderId="10" xfId="0" applyFont="1" applyFill="1" applyBorder="1" applyAlignment="1">
      <alignment horizontal="center"/>
    </xf>
    <xf numFmtId="0" fontId="51" fillId="0" borderId="10" xfId="0" applyFont="1" applyFill="1" applyBorder="1" applyAlignment="1">
      <alignment horizontal="left" wrapText="1"/>
    </xf>
    <xf numFmtId="49" fontId="21" fillId="0" borderId="10" xfId="0" applyNumberFormat="1" applyFont="1" applyFill="1" applyBorder="1" applyAlignment="1">
      <alignment horizontal="center"/>
    </xf>
    <xf numFmtId="172" fontId="35" fillId="0" borderId="10" xfId="0" applyNumberFormat="1" applyFont="1" applyFill="1" applyBorder="1" applyAlignment="1">
      <alignment horizontal="center"/>
    </xf>
    <xf numFmtId="172" fontId="21" fillId="0" borderId="10" xfId="0" applyNumberFormat="1" applyFont="1" applyFill="1" applyBorder="1" applyAlignment="1">
      <alignment horizontal="center"/>
    </xf>
    <xf numFmtId="2" fontId="35" fillId="0" borderId="10" xfId="0" applyNumberFormat="1" applyFont="1" applyFill="1" applyBorder="1" applyAlignment="1">
      <alignment horizontal="center"/>
    </xf>
    <xf numFmtId="1" fontId="21" fillId="0" borderId="10" xfId="0" applyNumberFormat="1" applyFont="1" applyFill="1" applyBorder="1" applyAlignment="1">
      <alignment horizontal="center"/>
    </xf>
    <xf numFmtId="172" fontId="40" fillId="0" borderId="19" xfId="0" applyNumberFormat="1" applyFont="1" applyFill="1" applyBorder="1" applyAlignment="1">
      <alignment horizontal="center"/>
    </xf>
    <xf numFmtId="172" fontId="40" fillId="0" borderId="10" xfId="0" applyNumberFormat="1" applyFont="1" applyFill="1" applyBorder="1" applyAlignment="1">
      <alignment horizontal="center"/>
    </xf>
    <xf numFmtId="2" fontId="35" fillId="0" borderId="19" xfId="0" applyNumberFormat="1" applyFont="1" applyFill="1" applyBorder="1" applyAlignment="1">
      <alignment horizontal="center"/>
    </xf>
    <xf numFmtId="0" fontId="48" fillId="0" borderId="0" xfId="0" applyFont="1" applyFill="1" applyAlignment="1">
      <alignment horizontal="center"/>
    </xf>
    <xf numFmtId="0" fontId="22" fillId="0" borderId="0" xfId="0" applyFont="1" applyFill="1" applyAlignment="1">
      <alignment horizontal="left" wrapText="1"/>
    </xf>
    <xf numFmtId="0" fontId="51" fillId="0" borderId="0" xfId="0" applyFont="1" applyFill="1" applyBorder="1" applyAlignment="1">
      <alignment horizontal="left"/>
    </xf>
    <xf numFmtId="2" fontId="21" fillId="0" borderId="0" xfId="0" applyNumberFormat="1" applyFont="1" applyFill="1" applyBorder="1" applyAlignment="1">
      <alignment horizontal="center"/>
    </xf>
    <xf numFmtId="0" fontId="51" fillId="0" borderId="0" xfId="0" applyFont="1" applyFill="1" applyAlignment="1">
      <alignment horizontal="right"/>
    </xf>
    <xf numFmtId="172" fontId="35" fillId="0" borderId="0" xfId="0" applyNumberFormat="1" applyFont="1" applyFill="1" applyAlignment="1">
      <alignment horizontal="left"/>
    </xf>
    <xf numFmtId="0" fontId="21" fillId="0" borderId="10" xfId="0" applyFont="1" applyFill="1" applyBorder="1" applyAlignment="1">
      <alignment horizontal="center"/>
    </xf>
    <xf numFmtId="0" fontId="51" fillId="0" borderId="10" xfId="0" applyFont="1" applyFill="1" applyBorder="1" applyAlignment="1">
      <alignment horizontal="right"/>
    </xf>
    <xf numFmtId="172" fontId="21" fillId="0" borderId="10" xfId="0" applyNumberFormat="1" applyFont="1" applyFill="1" applyBorder="1" applyAlignment="1">
      <alignment horizontal="left"/>
    </xf>
    <xf numFmtId="172" fontId="21" fillId="0" borderId="19" xfId="0" applyNumberFormat="1" applyFont="1" applyFill="1" applyBorder="1" applyAlignment="1">
      <alignment horizontal="center"/>
    </xf>
    <xf numFmtId="172" fontId="47" fillId="0" borderId="10" xfId="0" applyNumberFormat="1" applyFont="1" applyFill="1" applyBorder="1"/>
    <xf numFmtId="172" fontId="48" fillId="0" borderId="0" xfId="0" applyNumberFormat="1" applyFont="1" applyFill="1" applyAlignment="1">
      <alignment horizontal="center"/>
    </xf>
    <xf numFmtId="0" fontId="22" fillId="0" borderId="18" xfId="0" applyFont="1" applyBorder="1" applyAlignment="1">
      <alignment horizontal="left"/>
    </xf>
    <xf numFmtId="2" fontId="37" fillId="0" borderId="0" xfId="0" applyNumberFormat="1" applyFont="1" applyAlignment="1">
      <alignment horizontal="center"/>
    </xf>
    <xf numFmtId="1" fontId="37" fillId="0" borderId="18" xfId="0" applyNumberFormat="1" applyFont="1" applyFill="1" applyBorder="1" applyAlignment="1">
      <alignment horizontal="center"/>
    </xf>
    <xf numFmtId="172" fontId="48" fillId="0" borderId="0" xfId="0" applyNumberFormat="1" applyFont="1" applyAlignment="1">
      <alignment horizontal="center"/>
    </xf>
    <xf numFmtId="2" fontId="37" fillId="0" borderId="18" xfId="0" applyNumberFormat="1" applyFont="1" applyBorder="1" applyAlignment="1">
      <alignment horizontal="center"/>
    </xf>
    <xf numFmtId="172" fontId="22" fillId="0" borderId="0" xfId="0" applyNumberFormat="1" applyFont="1" applyBorder="1" applyAlignment="1">
      <alignment horizontal="center"/>
    </xf>
    <xf numFmtId="0" fontId="22" fillId="0" borderId="22" xfId="0" applyFont="1" applyBorder="1" applyAlignment="1">
      <alignment horizontal="left"/>
    </xf>
    <xf numFmtId="172" fontId="21" fillId="0" borderId="18" xfId="0" applyNumberFormat="1" applyFont="1" applyFill="1" applyBorder="1" applyAlignment="1">
      <alignment horizontal="center"/>
    </xf>
    <xf numFmtId="0" fontId="21" fillId="0" borderId="0" xfId="0" applyFont="1" applyFill="1" applyBorder="1" applyAlignment="1">
      <alignment horizontal="left" wrapText="1"/>
    </xf>
    <xf numFmtId="0" fontId="21" fillId="0" borderId="0" xfId="0" applyFont="1" applyFill="1" applyBorder="1" applyAlignment="1">
      <alignment horizontal="center" wrapText="1"/>
    </xf>
    <xf numFmtId="172" fontId="40" fillId="0" borderId="0" xfId="0" applyNumberFormat="1" applyFont="1" applyFill="1" applyBorder="1"/>
    <xf numFmtId="0" fontId="40" fillId="0" borderId="0" xfId="0" applyFont="1" applyFill="1" applyBorder="1"/>
    <xf numFmtId="0" fontId="35" fillId="0" borderId="18" xfId="0" applyFont="1" applyBorder="1" applyAlignment="1">
      <alignment horizontal="center"/>
    </xf>
    <xf numFmtId="2" fontId="35" fillId="0" borderId="0" xfId="0" applyNumberFormat="1" applyFont="1" applyAlignment="1">
      <alignment horizontal="center"/>
    </xf>
    <xf numFmtId="1" fontId="40" fillId="0" borderId="18" xfId="0" applyNumberFormat="1" applyFont="1" applyFill="1" applyBorder="1" applyAlignment="1">
      <alignment horizontal="center"/>
    </xf>
    <xf numFmtId="172" fontId="40" fillId="0" borderId="0" xfId="0" applyNumberFormat="1" applyFont="1" applyAlignment="1">
      <alignment horizontal="center"/>
    </xf>
    <xf numFmtId="2" fontId="35" fillId="0" borderId="18" xfId="0" applyNumberFormat="1" applyFont="1" applyBorder="1" applyAlignment="1">
      <alignment horizontal="center"/>
    </xf>
    <xf numFmtId="172" fontId="37" fillId="0" borderId="0" xfId="0" applyNumberFormat="1" applyFont="1" applyFill="1" applyAlignment="1">
      <alignment horizontal="center"/>
    </xf>
    <xf numFmtId="172" fontId="47" fillId="0" borderId="0" xfId="0" applyNumberFormat="1" applyFont="1"/>
    <xf numFmtId="172" fontId="22" fillId="0" borderId="0" xfId="0" applyNumberFormat="1" applyFont="1" applyAlignment="1">
      <alignment horizontal="left"/>
    </xf>
    <xf numFmtId="0" fontId="40" fillId="0" borderId="0" xfId="0" applyFont="1" applyFill="1" applyBorder="1" applyAlignment="1">
      <alignment horizontal="left" wrapText="1"/>
    </xf>
    <xf numFmtId="49" fontId="29" fillId="0" borderId="0" xfId="0" applyNumberFormat="1" applyFont="1" applyFill="1" applyBorder="1" applyAlignment="1">
      <alignment horizontal="center" wrapText="1"/>
    </xf>
    <xf numFmtId="1" fontId="40" fillId="0" borderId="0" xfId="0" applyNumberFormat="1" applyFont="1" applyFill="1" applyBorder="1" applyAlignment="1">
      <alignment horizontal="center"/>
    </xf>
    <xf numFmtId="0" fontId="22" fillId="0" borderId="0" xfId="0" applyFont="1" applyFill="1"/>
    <xf numFmtId="1" fontId="22" fillId="0" borderId="0" xfId="0" applyNumberFormat="1" applyFont="1" applyFill="1" applyAlignment="1">
      <alignment horizontal="center"/>
    </xf>
    <xf numFmtId="0" fontId="6" fillId="0" borderId="0" xfId="0" applyFont="1" applyFill="1" applyAlignment="1">
      <alignment horizontal="center" wrapText="1"/>
    </xf>
    <xf numFmtId="49" fontId="21" fillId="0" borderId="0" xfId="0" applyNumberFormat="1" applyFont="1" applyFill="1" applyBorder="1" applyAlignment="1">
      <alignment horizontal="center" wrapText="1"/>
    </xf>
    <xf numFmtId="0" fontId="21" fillId="0" borderId="10" xfId="0" applyFont="1" applyFill="1" applyBorder="1" applyAlignment="1">
      <alignment horizontal="left"/>
    </xf>
    <xf numFmtId="1" fontId="35" fillId="0" borderId="19"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Font="1" applyFill="1" applyBorder="1" applyAlignment="1">
      <alignment horizontal="center"/>
    </xf>
    <xf numFmtId="1" fontId="35" fillId="0" borderId="18" xfId="0" applyNumberFormat="1" applyFont="1" applyFill="1" applyBorder="1" applyAlignment="1">
      <alignment horizontal="center"/>
    </xf>
    <xf numFmtId="0" fontId="23" fillId="0" borderId="0" xfId="0" applyFont="1" applyAlignment="1">
      <alignment horizontal="center"/>
    </xf>
    <xf numFmtId="0" fontId="47" fillId="0" borderId="0" xfId="0" applyFont="1" applyFill="1" applyAlignment="1">
      <alignment horizontal="left"/>
    </xf>
    <xf numFmtId="172" fontId="23" fillId="0" borderId="0" xfId="0" applyNumberFormat="1" applyFont="1" applyAlignment="1">
      <alignment horizontal="center"/>
    </xf>
    <xf numFmtId="2" fontId="54" fillId="0" borderId="0" xfId="0" applyNumberFormat="1" applyFont="1" applyAlignment="1">
      <alignment horizontal="center"/>
    </xf>
    <xf numFmtId="1" fontId="23" fillId="0" borderId="0" xfId="0" applyNumberFormat="1" applyFont="1" applyAlignment="1">
      <alignment horizontal="center"/>
    </xf>
    <xf numFmtId="1" fontId="54" fillId="0" borderId="18" xfId="0" applyNumberFormat="1" applyFont="1" applyFill="1" applyBorder="1" applyAlignment="1">
      <alignment horizontal="center"/>
    </xf>
    <xf numFmtId="172" fontId="46" fillId="0" borderId="0" xfId="0" applyNumberFormat="1" applyFont="1" applyAlignment="1">
      <alignment horizontal="center"/>
    </xf>
    <xf numFmtId="2" fontId="54" fillId="0" borderId="18" xfId="0" applyNumberFormat="1" applyFont="1" applyBorder="1" applyAlignment="1">
      <alignment horizontal="center"/>
    </xf>
    <xf numFmtId="0" fontId="23" fillId="0" borderId="0" xfId="0" applyFont="1"/>
    <xf numFmtId="0" fontId="23" fillId="0" borderId="0" xfId="0" applyFont="1" applyFill="1" applyAlignment="1">
      <alignment horizontal="center"/>
    </xf>
    <xf numFmtId="0" fontId="22" fillId="0" borderId="0" xfId="0" applyFont="1" applyFill="1" applyAlignment="1">
      <alignment horizontal="right"/>
    </xf>
    <xf numFmtId="172" fontId="37" fillId="0" borderId="0" xfId="0" applyNumberFormat="1" applyFont="1" applyFill="1" applyBorder="1" applyAlignment="1">
      <alignment horizontal="center"/>
    </xf>
    <xf numFmtId="172" fontId="21" fillId="0" borderId="0" xfId="0" applyNumberFormat="1" applyFont="1" applyFill="1" applyAlignment="1">
      <alignment horizontal="left"/>
    </xf>
    <xf numFmtId="2" fontId="54" fillId="0" borderId="0" xfId="0" applyNumberFormat="1" applyFont="1" applyFill="1" applyBorder="1" applyAlignment="1">
      <alignment horizontal="center"/>
    </xf>
    <xf numFmtId="172" fontId="23"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172" fontId="46" fillId="0" borderId="0" xfId="0" applyNumberFormat="1" applyFont="1" applyFill="1" applyBorder="1" applyAlignment="1">
      <alignment horizontal="center"/>
    </xf>
    <xf numFmtId="2" fontId="54" fillId="0" borderId="18" xfId="0" applyNumberFormat="1" applyFont="1" applyFill="1" applyBorder="1" applyAlignment="1">
      <alignment horizontal="center"/>
    </xf>
    <xf numFmtId="172" fontId="23" fillId="0" borderId="0" xfId="0" applyNumberFormat="1" applyFont="1" applyFill="1" applyAlignment="1">
      <alignment horizontal="center"/>
    </xf>
    <xf numFmtId="172" fontId="23" fillId="0" borderId="0" xfId="0" applyNumberFormat="1" applyFont="1" applyFill="1"/>
    <xf numFmtId="0" fontId="23" fillId="0" borderId="0" xfId="0" applyFont="1" applyFill="1"/>
    <xf numFmtId="1" fontId="23" fillId="0" borderId="0" xfId="0" applyNumberFormat="1" applyFont="1" applyFill="1" applyAlignment="1">
      <alignment horizontal="center"/>
    </xf>
    <xf numFmtId="0" fontId="21" fillId="0" borderId="0" xfId="0" applyFont="1" applyFill="1" applyAlignment="1">
      <alignment wrapText="1"/>
    </xf>
    <xf numFmtId="49" fontId="0" fillId="0" borderId="0" xfId="0" applyNumberFormat="1" applyFont="1" applyFill="1" applyBorder="1" applyAlignment="1">
      <alignment horizontal="center" wrapText="1"/>
    </xf>
    <xf numFmtId="0" fontId="0" fillId="0" borderId="0" xfId="0" applyFont="1" applyFill="1" applyAlignment="1">
      <alignment horizontal="center" wrapText="1"/>
    </xf>
    <xf numFmtId="0" fontId="21" fillId="0" borderId="17" xfId="0" applyFont="1" applyBorder="1" applyAlignment="1">
      <alignment horizontal="center"/>
    </xf>
    <xf numFmtId="0" fontId="55" fillId="0" borderId="17" xfId="0" applyFont="1" applyBorder="1" applyAlignment="1">
      <alignment horizontal="left"/>
    </xf>
    <xf numFmtId="1" fontId="55" fillId="0" borderId="17" xfId="0" applyNumberFormat="1" applyFont="1" applyBorder="1" applyAlignment="1">
      <alignment horizontal="center"/>
    </xf>
    <xf numFmtId="1" fontId="55" fillId="0" borderId="23" xfId="0" applyNumberFormat="1" applyFont="1" applyBorder="1" applyAlignment="1">
      <alignment horizontal="center"/>
    </xf>
    <xf numFmtId="172" fontId="21" fillId="0" borderId="17" xfId="0" applyNumberFormat="1" applyFont="1" applyBorder="1"/>
    <xf numFmtId="0" fontId="21" fillId="0" borderId="17" xfId="0" applyFont="1" applyBorder="1"/>
    <xf numFmtId="0" fontId="21" fillId="0" borderId="23" xfId="0" applyFont="1" applyBorder="1"/>
    <xf numFmtId="172" fontId="35" fillId="0" borderId="0" xfId="0" applyNumberFormat="1" applyFont="1" applyAlignment="1">
      <alignment horizontal="center"/>
    </xf>
    <xf numFmtId="0" fontId="21" fillId="0" borderId="18" xfId="0" applyFont="1" applyFill="1" applyBorder="1" applyAlignment="1">
      <alignment horizontal="left"/>
    </xf>
    <xf numFmtId="0" fontId="21" fillId="0" borderId="22" xfId="0" applyFont="1" applyFill="1" applyBorder="1"/>
    <xf numFmtId="1" fontId="22" fillId="0" borderId="0" xfId="0" applyNumberFormat="1" applyFont="1" applyAlignment="1">
      <alignment horizontal="right"/>
    </xf>
    <xf numFmtId="1" fontId="35" fillId="0" borderId="0" xfId="0" applyNumberFormat="1" applyFont="1" applyAlignment="1">
      <alignment horizontal="center"/>
    </xf>
    <xf numFmtId="2" fontId="37" fillId="0" borderId="0" xfId="0" applyNumberFormat="1" applyFont="1" applyAlignment="1">
      <alignment horizontal="left"/>
    </xf>
    <xf numFmtId="0" fontId="56" fillId="0" borderId="0" xfId="0" applyFont="1" applyAlignment="1">
      <alignment horizontal="left"/>
    </xf>
    <xf numFmtId="0" fontId="56" fillId="0" borderId="0" xfId="0" applyFont="1" applyAlignment="1">
      <alignment horizontal="center"/>
    </xf>
    <xf numFmtId="2" fontId="21" fillId="0" borderId="0" xfId="0" applyNumberFormat="1" applyFont="1"/>
    <xf numFmtId="172" fontId="37" fillId="0" borderId="0" xfId="0" applyNumberFormat="1" applyFont="1" applyAlignment="1">
      <alignment horizontal="center"/>
    </xf>
    <xf numFmtId="1" fontId="48" fillId="0" borderId="0" xfId="0" applyNumberFormat="1" applyFont="1" applyAlignment="1">
      <alignment horizontal="center"/>
    </xf>
    <xf numFmtId="0" fontId="22" fillId="0" borderId="0" xfId="0" applyFont="1" applyAlignment="1"/>
    <xf numFmtId="49" fontId="21" fillId="0" borderId="0" xfId="0" applyNumberFormat="1" applyFont="1" applyBorder="1" applyAlignment="1">
      <alignment horizontal="center"/>
    </xf>
    <xf numFmtId="0" fontId="40" fillId="0" borderId="0" xfId="0" applyFont="1" applyAlignment="1">
      <alignment horizontal="left"/>
    </xf>
    <xf numFmtId="0" fontId="21" fillId="0" borderId="0" xfId="0" applyFont="1" applyAlignment="1">
      <alignment horizontal="left" wrapText="1"/>
    </xf>
    <xf numFmtId="0" fontId="21" fillId="0" borderId="22" xfId="0" applyFont="1" applyBorder="1" applyAlignment="1">
      <alignment horizontal="center"/>
    </xf>
    <xf numFmtId="1" fontId="21" fillId="0" borderId="22" xfId="0" applyNumberFormat="1" applyFont="1" applyBorder="1" applyAlignment="1">
      <alignment horizontal="center"/>
    </xf>
    <xf numFmtId="172" fontId="21" fillId="8" borderId="0" xfId="0" applyNumberFormat="1" applyFont="1" applyFill="1" applyAlignment="1">
      <alignment horizontal="center"/>
    </xf>
    <xf numFmtId="172" fontId="40" fillId="8" borderId="18" xfId="0" applyNumberFormat="1" applyFont="1" applyFill="1" applyBorder="1" applyAlignment="1">
      <alignment horizontal="center"/>
    </xf>
    <xf numFmtId="2" fontId="21" fillId="0" borderId="0" xfId="0" applyNumberFormat="1" applyFont="1" applyAlignment="1">
      <alignment horizontal="center"/>
    </xf>
    <xf numFmtId="172" fontId="21" fillId="0" borderId="0" xfId="0" applyNumberFormat="1" applyFont="1"/>
    <xf numFmtId="49" fontId="0" fillId="0" borderId="0" xfId="0" applyNumberFormat="1" applyFont="1" applyBorder="1" applyAlignment="1">
      <alignment horizontal="center" wrapText="1"/>
    </xf>
    <xf numFmtId="0" fontId="51" fillId="0" borderId="0" xfId="0" applyFont="1"/>
    <xf numFmtId="0" fontId="22" fillId="0" borderId="0" xfId="0" applyNumberFormat="1" applyFont="1" applyFill="1" applyAlignment="1">
      <alignment horizontal="center"/>
    </xf>
    <xf numFmtId="49" fontId="21" fillId="0" borderId="0" xfId="0" applyNumberFormat="1" applyFont="1" applyBorder="1" applyAlignment="1">
      <alignment horizontal="center" wrapText="1"/>
    </xf>
    <xf numFmtId="0" fontId="21" fillId="0" borderId="17" xfId="0" applyFont="1" applyBorder="1" applyAlignment="1">
      <alignment horizontal="left"/>
    </xf>
    <xf numFmtId="0" fontId="35" fillId="0" borderId="23" xfId="0" applyFont="1" applyBorder="1" applyAlignment="1">
      <alignment horizontal="center"/>
    </xf>
    <xf numFmtId="172" fontId="35" fillId="0" borderId="17" xfId="0" applyNumberFormat="1" applyFont="1" applyFill="1" applyBorder="1" applyAlignment="1">
      <alignment horizontal="center"/>
    </xf>
    <xf numFmtId="172" fontId="21" fillId="0" borderId="17" xfId="0" applyNumberFormat="1" applyFont="1" applyBorder="1" applyAlignment="1">
      <alignment horizontal="center"/>
    </xf>
    <xf numFmtId="2" fontId="35" fillId="0" borderId="17" xfId="0" applyNumberFormat="1" applyFont="1" applyBorder="1" applyAlignment="1">
      <alignment horizontal="center"/>
    </xf>
    <xf numFmtId="1" fontId="21" fillId="0" borderId="17" xfId="0" applyNumberFormat="1" applyFont="1" applyBorder="1" applyAlignment="1">
      <alignment horizontal="center"/>
    </xf>
    <xf numFmtId="1" fontId="35" fillId="0" borderId="23" xfId="0" applyNumberFormat="1" applyFont="1" applyFill="1" applyBorder="1" applyAlignment="1">
      <alignment horizontal="center"/>
    </xf>
    <xf numFmtId="172" fontId="40" fillId="0" borderId="17" xfId="0" applyNumberFormat="1" applyFont="1" applyBorder="1" applyAlignment="1">
      <alignment horizontal="center"/>
    </xf>
    <xf numFmtId="2" fontId="35" fillId="0" borderId="23" xfId="0" applyNumberFormat="1" applyFont="1" applyBorder="1" applyAlignment="1">
      <alignment horizontal="center"/>
    </xf>
    <xf numFmtId="1" fontId="48" fillId="0" borderId="24" xfId="0" applyNumberFormat="1" applyFont="1" applyFill="1" applyBorder="1" applyAlignment="1">
      <alignment horizontal="center"/>
    </xf>
    <xf numFmtId="1" fontId="22" fillId="0" borderId="24" xfId="0" applyNumberFormat="1" applyFont="1" applyBorder="1" applyAlignment="1">
      <alignment horizontal="center"/>
    </xf>
    <xf numFmtId="172" fontId="21" fillId="0" borderId="0" xfId="0" applyNumberFormat="1" applyFont="1" applyFill="1" applyAlignment="1">
      <alignment horizontal="center" vertical="center"/>
    </xf>
    <xf numFmtId="172" fontId="21" fillId="0" borderId="22" xfId="0" applyNumberFormat="1" applyFont="1" applyFill="1" applyBorder="1" applyAlignment="1">
      <alignment horizontal="center" vertical="center"/>
    </xf>
    <xf numFmtId="172" fontId="21" fillId="0" borderId="0" xfId="0" applyNumberFormat="1" applyFont="1" applyFill="1" applyBorder="1" applyAlignment="1">
      <alignment horizontal="center" vertical="center"/>
    </xf>
    <xf numFmtId="1" fontId="21" fillId="0" borderId="0" xfId="0" applyNumberFormat="1" applyFont="1" applyFill="1" applyAlignment="1">
      <alignment horizontal="left"/>
    </xf>
    <xf numFmtId="172" fontId="37" fillId="0" borderId="0" xfId="0" applyNumberFormat="1" applyFont="1" applyFill="1" applyBorder="1" applyAlignment="1">
      <alignment horizontal="center" vertical="center"/>
    </xf>
    <xf numFmtId="172" fontId="22" fillId="0" borderId="22" xfId="0" applyNumberFormat="1" applyFont="1" applyFill="1" applyBorder="1" applyAlignment="1">
      <alignment horizontal="center" vertical="center"/>
    </xf>
    <xf numFmtId="172" fontId="48" fillId="0" borderId="0" xfId="0" applyNumberFormat="1" applyFont="1" applyFill="1" applyBorder="1" applyAlignment="1">
      <alignment horizontal="center" vertical="center"/>
    </xf>
    <xf numFmtId="172" fontId="22" fillId="0" borderId="0" xfId="0" applyNumberFormat="1" applyFont="1" applyFill="1" applyBorder="1" applyAlignment="1">
      <alignment horizontal="center" vertical="center"/>
    </xf>
    <xf numFmtId="172" fontId="22" fillId="0" borderId="0" xfId="0" applyNumberFormat="1" applyFont="1" applyFill="1" applyAlignment="1">
      <alignment horizontal="center" vertical="center"/>
    </xf>
    <xf numFmtId="172" fontId="35" fillId="0" borderId="0" xfId="0" applyNumberFormat="1" applyFont="1" applyFill="1" applyAlignment="1">
      <alignment horizontal="center" vertical="center"/>
    </xf>
    <xf numFmtId="49" fontId="21" fillId="0" borderId="17" xfId="0" applyNumberFormat="1" applyFont="1" applyBorder="1" applyAlignment="1">
      <alignment horizontal="center"/>
    </xf>
    <xf numFmtId="1" fontId="21" fillId="0" borderId="25" xfId="0" applyNumberFormat="1" applyFont="1" applyBorder="1" applyAlignment="1">
      <alignment horizontal="center"/>
    </xf>
    <xf numFmtId="49" fontId="22" fillId="0" borderId="0" xfId="0" applyNumberFormat="1" applyFont="1" applyBorder="1" applyAlignment="1">
      <alignment horizontal="center"/>
    </xf>
    <xf numFmtId="0" fontId="35" fillId="0" borderId="18" xfId="0" applyFont="1" applyBorder="1" applyAlignment="1">
      <alignment horizontal="left"/>
    </xf>
    <xf numFmtId="2" fontId="35" fillId="0" borderId="0" xfId="0" applyNumberFormat="1" applyFont="1" applyBorder="1" applyAlignment="1">
      <alignment horizontal="center"/>
    </xf>
    <xf numFmtId="172" fontId="35" fillId="0" borderId="0" xfId="0" applyNumberFormat="1" applyFont="1" applyBorder="1" applyAlignment="1">
      <alignment horizontal="center"/>
    </xf>
    <xf numFmtId="1" fontId="22" fillId="0" borderId="0" xfId="0" applyNumberFormat="1" applyFont="1" applyAlignment="1">
      <alignment horizontal="left"/>
    </xf>
    <xf numFmtId="49" fontId="22" fillId="0" borderId="0" xfId="0" applyNumberFormat="1" applyFont="1" applyFill="1" applyBorder="1" applyAlignment="1">
      <alignment horizontal="center"/>
    </xf>
    <xf numFmtId="2" fontId="37" fillId="0" borderId="0" xfId="0" applyNumberFormat="1" applyFont="1" applyBorder="1" applyAlignment="1">
      <alignment horizontal="center"/>
    </xf>
    <xf numFmtId="172" fontId="37" fillId="0" borderId="0" xfId="0" applyNumberFormat="1" applyFont="1" applyBorder="1" applyAlignment="1">
      <alignment horizontal="center"/>
    </xf>
    <xf numFmtId="0" fontId="21" fillId="0" borderId="22" xfId="0" applyFont="1" applyBorder="1"/>
    <xf numFmtId="0" fontId="21" fillId="0" borderId="0" xfId="0" applyNumberFormat="1" applyFont="1" applyBorder="1" applyAlignment="1">
      <alignment horizontal="center"/>
    </xf>
    <xf numFmtId="2" fontId="35" fillId="0" borderId="23" xfId="0" applyNumberFormat="1" applyFont="1" applyFill="1" applyBorder="1" applyAlignment="1">
      <alignment horizontal="center"/>
    </xf>
    <xf numFmtId="1" fontId="22" fillId="0" borderId="0" xfId="0" applyNumberFormat="1" applyFont="1" applyFill="1" applyBorder="1" applyAlignment="1">
      <alignment horizontal="center"/>
    </xf>
    <xf numFmtId="2" fontId="37" fillId="0" borderId="0" xfId="0" applyNumberFormat="1" applyFont="1" applyFill="1" applyBorder="1" applyAlignment="1">
      <alignment horizontal="center"/>
    </xf>
    <xf numFmtId="0" fontId="44" fillId="0" borderId="0" xfId="0" applyFont="1" applyFill="1"/>
    <xf numFmtId="1" fontId="44" fillId="0" borderId="0" xfId="0" applyNumberFormat="1" applyFont="1" applyFill="1" applyAlignment="1">
      <alignment horizontal="center"/>
    </xf>
    <xf numFmtId="0" fontId="0" fillId="0" borderId="10" xfId="0" applyBorder="1"/>
    <xf numFmtId="0" fontId="24" fillId="0" borderId="10" xfId="0" applyFont="1" applyBorder="1" applyAlignment="1">
      <alignment horizontal="center"/>
    </xf>
    <xf numFmtId="172" fontId="0" fillId="0" borderId="0" xfId="0" applyNumberFormat="1" applyBorder="1" applyAlignment="1">
      <alignment horizontal="center"/>
    </xf>
    <xf numFmtId="172" fontId="24" fillId="0" borderId="0" xfId="0" applyNumberFormat="1" applyFont="1" applyBorder="1" applyAlignment="1">
      <alignment horizontal="center"/>
    </xf>
    <xf numFmtId="0" fontId="57" fillId="0" borderId="0" xfId="0" applyFont="1"/>
    <xf numFmtId="0" fontId="57" fillId="0" borderId="0" xfId="0" applyFont="1" applyAlignment="1">
      <alignment horizontal="right"/>
    </xf>
    <xf numFmtId="0" fontId="57" fillId="0" borderId="0" xfId="0" applyFont="1" applyAlignment="1">
      <alignment horizontal="center"/>
    </xf>
    <xf numFmtId="15" fontId="0" fillId="0" borderId="0" xfId="0" applyNumberFormat="1" applyAlignment="1">
      <alignment horizontal="center"/>
    </xf>
    <xf numFmtId="20" fontId="28" fillId="0" borderId="0" xfId="0" applyNumberFormat="1" applyFont="1" applyAlignment="1">
      <alignment horizontal="center"/>
    </xf>
    <xf numFmtId="0" fontId="28" fillId="0" borderId="0" xfId="0" applyFont="1" applyAlignment="1">
      <alignment horizontal="center"/>
    </xf>
    <xf numFmtId="0" fontId="0" fillId="0" borderId="0" xfId="0" applyFont="1" applyFill="1"/>
    <xf numFmtId="15" fontId="24" fillId="0" borderId="0" xfId="0" applyNumberFormat="1" applyFont="1" applyAlignment="1">
      <alignment horizontal="center"/>
    </xf>
    <xf numFmtId="0" fontId="28" fillId="0" borderId="0" xfId="0" applyFont="1"/>
    <xf numFmtId="172" fontId="0" fillId="0" borderId="0" xfId="0" applyNumberFormat="1"/>
    <xf numFmtId="0" fontId="26" fillId="0" borderId="0" xfId="0" applyFont="1" applyAlignment="1">
      <alignment horizontal="center"/>
    </xf>
    <xf numFmtId="0" fontId="0" fillId="0" borderId="17" xfId="0" applyFont="1" applyBorder="1" applyAlignment="1">
      <alignment horizontal="center"/>
    </xf>
    <xf numFmtId="172" fontId="0" fillId="0" borderId="14" xfId="0" applyNumberFormat="1" applyFill="1" applyBorder="1" applyAlignment="1">
      <alignment horizontal="center"/>
    </xf>
    <xf numFmtId="0" fontId="0" fillId="0" borderId="17" xfId="0" applyFont="1" applyFill="1" applyBorder="1" applyAlignment="1">
      <alignment horizontal="center"/>
    </xf>
    <xf numFmtId="0" fontId="0" fillId="0" borderId="17" xfId="0" applyBorder="1"/>
    <xf numFmtId="0" fontId="0" fillId="0" borderId="18" xfId="0" applyFont="1" applyFill="1" applyBorder="1" applyAlignment="1">
      <alignment horizontal="center"/>
    </xf>
    <xf numFmtId="172" fontId="0" fillId="0" borderId="16" xfId="0" applyNumberFormat="1" applyBorder="1" applyAlignment="1">
      <alignment horizontal="center"/>
    </xf>
    <xf numFmtId="172" fontId="0" fillId="0" borderId="14" xfId="0" applyNumberFormat="1" applyBorder="1" applyAlignment="1">
      <alignment horizontal="center"/>
    </xf>
    <xf numFmtId="172" fontId="0" fillId="0" borderId="14" xfId="0" applyNumberFormat="1" applyBorder="1"/>
    <xf numFmtId="0" fontId="0" fillId="0" borderId="0" xfId="0" applyNumberFormat="1"/>
    <xf numFmtId="172" fontId="0" fillId="0" borderId="26" xfId="0" applyNumberFormat="1" applyBorder="1" applyAlignment="1">
      <alignment horizontal="center"/>
    </xf>
    <xf numFmtId="0" fontId="58" fillId="0" borderId="0" xfId="0" applyFont="1" applyAlignment="1">
      <alignment horizontal="right"/>
    </xf>
    <xf numFmtId="0" fontId="57" fillId="0" borderId="17" xfId="0" applyFont="1" applyBorder="1" applyAlignment="1">
      <alignment horizontal="center"/>
    </xf>
    <xf numFmtId="0" fontId="57" fillId="0" borderId="17" xfId="0" applyFont="1" applyBorder="1" applyAlignment="1">
      <alignment horizontal="left"/>
    </xf>
    <xf numFmtId="172" fontId="0" fillId="0" borderId="0" xfId="0" applyNumberFormat="1" applyBorder="1"/>
    <xf numFmtId="0" fontId="58" fillId="0" borderId="0" xfId="0" applyFont="1" applyAlignment="1">
      <alignment horizontal="center" wrapText="1"/>
    </xf>
    <xf numFmtId="172" fontId="0" fillId="0" borderId="17" xfId="0" applyNumberFormat="1" applyBorder="1" applyAlignment="1">
      <alignment horizontal="center"/>
    </xf>
    <xf numFmtId="172" fontId="58" fillId="0" borderId="17" xfId="0" applyNumberFormat="1" applyFont="1" applyBorder="1" applyAlignment="1">
      <alignment horizontal="center"/>
    </xf>
    <xf numFmtId="172" fontId="0" fillId="0" borderId="27" xfId="0" applyNumberFormat="1" applyFill="1" applyBorder="1" applyAlignment="1">
      <alignment horizontal="center"/>
    </xf>
    <xf numFmtId="172" fontId="58" fillId="0" borderId="0" xfId="0" applyNumberFormat="1" applyFont="1" applyBorder="1" applyAlignment="1">
      <alignment horizontal="center"/>
    </xf>
    <xf numFmtId="172" fontId="0" fillId="0" borderId="17" xfId="0" applyNumberFormat="1" applyFill="1" applyBorder="1" applyAlignment="1">
      <alignment horizontal="center"/>
    </xf>
    <xf numFmtId="0" fontId="58" fillId="0" borderId="0" xfId="0" applyFont="1" applyBorder="1"/>
    <xf numFmtId="172" fontId="0" fillId="0" borderId="17" xfId="0" applyNumberFormat="1" applyBorder="1"/>
    <xf numFmtId="172" fontId="0" fillId="0" borderId="14" xfId="0" applyNumberFormat="1" applyFont="1" applyBorder="1" applyAlignment="1">
      <alignment horizontal="center"/>
    </xf>
    <xf numFmtId="172" fontId="0" fillId="0" borderId="28" xfId="0" applyNumberFormat="1" applyFill="1" applyBorder="1" applyAlignment="1">
      <alignment horizontal="center"/>
    </xf>
    <xf numFmtId="172" fontId="6" fillId="0" borderId="14" xfId="0" applyNumberFormat="1" applyFont="1" applyFill="1" applyBorder="1" applyAlignment="1">
      <alignment horizontal="center"/>
    </xf>
    <xf numFmtId="0" fontId="0" fillId="0" borderId="14" xfId="0" applyFill="1" applyBorder="1"/>
    <xf numFmtId="0" fontId="0" fillId="0" borderId="14" xfId="0" applyFill="1" applyBorder="1" applyAlignment="1">
      <alignment horizontal="center"/>
    </xf>
    <xf numFmtId="172" fontId="6" fillId="0" borderId="14" xfId="0" applyNumberFormat="1" applyFont="1" applyBorder="1" applyAlignment="1">
      <alignment horizontal="center"/>
    </xf>
    <xf numFmtId="172" fontId="6" fillId="0" borderId="14" xfId="0" applyNumberFormat="1" applyFont="1" applyBorder="1"/>
    <xf numFmtId="172" fontId="0" fillId="0" borderId="29" xfId="0" applyNumberFormat="1" applyFill="1" applyBorder="1" applyAlignment="1">
      <alignment horizontal="center"/>
    </xf>
    <xf numFmtId="0" fontId="57" fillId="0" borderId="0" xfId="0" applyFont="1" applyBorder="1" applyAlignment="1">
      <alignment horizontal="center"/>
    </xf>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178" fontId="21" fillId="0" borderId="0" xfId="0" applyNumberFormat="1" applyFont="1"/>
    <xf numFmtId="0" fontId="0" fillId="0" borderId="0" xfId="0" applyFont="1"/>
    <xf numFmtId="0" fontId="43" fillId="0" borderId="0" xfId="0" applyFont="1"/>
    <xf numFmtId="0" fontId="43" fillId="0" borderId="0" xfId="0" applyFont="1" applyAlignment="1">
      <alignment horizontal="center"/>
    </xf>
    <xf numFmtId="0" fontId="0" fillId="0" borderId="0" xfId="0" applyFont="1" applyAlignment="1">
      <alignment horizontal="right" vertical="top"/>
    </xf>
    <xf numFmtId="0" fontId="38" fillId="0" borderId="0" xfId="0" applyFont="1"/>
    <xf numFmtId="171" fontId="24" fillId="0" borderId="0" xfId="0" applyNumberFormat="1" applyFont="1"/>
    <xf numFmtId="171" fontId="0" fillId="0" borderId="0" xfId="0" applyNumberFormat="1" applyFont="1"/>
    <xf numFmtId="169" fontId="24" fillId="0" borderId="0" xfId="0" applyNumberFormat="1" applyFont="1"/>
    <xf numFmtId="0" fontId="24" fillId="0" borderId="0" xfId="0" applyFont="1"/>
    <xf numFmtId="1" fontId="0" fillId="0" borderId="0" xfId="0" applyNumberFormat="1" applyFont="1"/>
    <xf numFmtId="1" fontId="26" fillId="0" borderId="0" xfId="0" applyNumberFormat="1" applyFont="1"/>
    <xf numFmtId="1" fontId="24" fillId="0" borderId="0" xfId="0" applyNumberFormat="1" applyFont="1"/>
    <xf numFmtId="172" fontId="0" fillId="0" borderId="0" xfId="0" applyNumberFormat="1" applyFont="1"/>
    <xf numFmtId="179" fontId="24" fillId="0" borderId="0" xfId="0" applyNumberFormat="1" applyFont="1"/>
    <xf numFmtId="1" fontId="59" fillId="0" borderId="0" xfId="0" applyNumberFormat="1" applyFont="1"/>
    <xf numFmtId="0" fontId="58" fillId="0" borderId="0" xfId="0" applyFont="1"/>
    <xf numFmtId="14" fontId="0" fillId="0" borderId="0" xfId="0" applyNumberFormat="1"/>
    <xf numFmtId="16" fontId="0" fillId="0" borderId="0" xfId="0" applyNumberFormat="1"/>
    <xf numFmtId="166" fontId="0" fillId="0" borderId="0" xfId="0" applyNumberFormat="1" applyAlignment="1">
      <alignment horizontal="center"/>
    </xf>
    <xf numFmtId="0" fontId="0" fillId="0" borderId="0" xfId="0" applyAlignment="1">
      <alignment wrapText="1"/>
    </xf>
    <xf numFmtId="166" fontId="22" fillId="0" borderId="0" xfId="0" applyNumberFormat="1" applyFont="1" applyAlignment="1">
      <alignment horizontal="left"/>
    </xf>
    <xf numFmtId="166" fontId="22" fillId="0" borderId="0" xfId="0" applyNumberFormat="1" applyFont="1" applyAlignment="1">
      <alignment horizontal="center"/>
    </xf>
    <xf numFmtId="0" fontId="22" fillId="0" borderId="0" xfId="0" applyFont="1" applyAlignment="1">
      <alignment horizontal="left" wrapText="1"/>
    </xf>
    <xf numFmtId="166" fontId="57" fillId="0" borderId="0" xfId="0" applyNumberFormat="1" applyFont="1" applyAlignment="1">
      <alignment horizontal="center"/>
    </xf>
    <xf numFmtId="0" fontId="57" fillId="0" borderId="0" xfId="0" applyFont="1" applyAlignment="1">
      <alignment wrapText="1"/>
    </xf>
    <xf numFmtId="166" fontId="37" fillId="0" borderId="0" xfId="0" applyNumberFormat="1" applyFont="1" applyAlignment="1">
      <alignment horizontal="left"/>
    </xf>
    <xf numFmtId="0" fontId="19" fillId="0" borderId="0" xfId="0" applyFont="1" applyAlignment="1">
      <alignment horizontal="left"/>
    </xf>
    <xf numFmtId="0" fontId="60" fillId="0" borderId="0" xfId="0" applyFont="1" applyAlignment="1">
      <alignment horizontal="center"/>
    </xf>
    <xf numFmtId="179" fontId="0" fillId="0" borderId="0" xfId="0" applyNumberFormat="1" applyFont="1"/>
    <xf numFmtId="166" fontId="60" fillId="0" borderId="0" xfId="0" applyNumberFormat="1" applyFont="1" applyAlignment="1">
      <alignment horizontal="center"/>
    </xf>
    <xf numFmtId="14" fontId="60" fillId="0" borderId="0" xfId="0" applyNumberFormat="1" applyFont="1" applyAlignment="1">
      <alignment horizontal="center"/>
    </xf>
    <xf numFmtId="175" fontId="0" fillId="0" borderId="0" xfId="0" applyNumberFormat="1" applyFont="1"/>
    <xf numFmtId="0" fontId="57" fillId="0" borderId="0" xfId="0" applyFont="1" applyBorder="1"/>
    <xf numFmtId="0" fontId="6" fillId="0" borderId="0" xfId="0" applyFont="1"/>
    <xf numFmtId="1" fontId="0" fillId="0" borderId="0" xfId="0" applyNumberFormat="1" applyFont="1" applyAlignment="1">
      <alignment horizontal="right"/>
    </xf>
    <xf numFmtId="49" fontId="57" fillId="0" borderId="0" xfId="0" applyNumberFormat="1" applyFont="1"/>
    <xf numFmtId="14" fontId="60" fillId="0" borderId="0" xfId="0" applyNumberFormat="1" applyFont="1"/>
    <xf numFmtId="0" fontId="0" fillId="0" borderId="14" xfId="0" applyFont="1" applyBorder="1" applyAlignment="1">
      <alignment horizontal="center"/>
    </xf>
    <xf numFmtId="171" fontId="24" fillId="0" borderId="14" xfId="0" applyNumberFormat="1" applyFont="1" applyBorder="1"/>
    <xf numFmtId="0" fontId="0" fillId="0" borderId="14" xfId="0" applyFont="1" applyBorder="1"/>
    <xf numFmtId="171" fontId="0" fillId="0" borderId="14" xfId="0" applyNumberFormat="1" applyBorder="1"/>
    <xf numFmtId="1" fontId="0" fillId="0" borderId="14" xfId="0" applyNumberFormat="1" applyBorder="1"/>
    <xf numFmtId="0" fontId="57" fillId="0" borderId="35" xfId="0" applyFont="1" applyFill="1" applyBorder="1"/>
    <xf numFmtId="0" fontId="0" fillId="0" borderId="36" xfId="0" applyFont="1" applyFill="1" applyBorder="1"/>
    <xf numFmtId="0" fontId="57" fillId="0" borderId="37" xfId="0" applyFont="1" applyFill="1" applyBorder="1"/>
    <xf numFmtId="0" fontId="57" fillId="0" borderId="0" xfId="0" applyFont="1" applyFill="1"/>
    <xf numFmtId="0" fontId="0" fillId="0" borderId="38" xfId="0" applyFont="1" applyFill="1" applyBorder="1"/>
    <xf numFmtId="0" fontId="57" fillId="0" borderId="39" xfId="0" applyFont="1" applyFill="1" applyBorder="1"/>
    <xf numFmtId="0" fontId="57" fillId="0" borderId="40" xfId="0" applyFont="1" applyFill="1" applyBorder="1"/>
    <xf numFmtId="0" fontId="0" fillId="0" borderId="41" xfId="0" applyFont="1" applyFill="1" applyBorder="1"/>
    <xf numFmtId="0" fontId="0" fillId="0" borderId="42" xfId="0" applyFont="1" applyFill="1" applyBorder="1"/>
    <xf numFmtId="170" fontId="0" fillId="0" borderId="0" xfId="0" applyNumberFormat="1" applyFont="1" applyFill="1"/>
    <xf numFmtId="170" fontId="0" fillId="0" borderId="38" xfId="0" applyNumberFormat="1" applyFont="1" applyFill="1" applyBorder="1"/>
    <xf numFmtId="0" fontId="0" fillId="0" borderId="37" xfId="0" applyFont="1" applyFill="1" applyBorder="1"/>
    <xf numFmtId="170" fontId="0" fillId="0" borderId="10" xfId="0" applyNumberFormat="1" applyFont="1" applyFill="1" applyBorder="1"/>
    <xf numFmtId="170" fontId="0" fillId="0" borderId="43" xfId="0" applyNumberFormat="1" applyFont="1" applyFill="1" applyBorder="1"/>
    <xf numFmtId="0" fontId="0" fillId="0" borderId="0" xfId="0" applyFont="1" applyFill="1" applyBorder="1"/>
    <xf numFmtId="170" fontId="0" fillId="0" borderId="0" xfId="0" applyNumberFormat="1" applyFont="1" applyFill="1" applyBorder="1"/>
    <xf numFmtId="2" fontId="0" fillId="0" borderId="14" xfId="0" applyNumberFormat="1" applyFont="1" applyBorder="1"/>
    <xf numFmtId="1" fontId="0" fillId="0" borderId="14" xfId="0" applyNumberFormat="1" applyFont="1" applyBorder="1"/>
    <xf numFmtId="10" fontId="0" fillId="0" borderId="14" xfId="0" applyNumberFormat="1" applyFont="1" applyBorder="1"/>
    <xf numFmtId="0" fontId="24" fillId="20" borderId="41" xfId="0" applyFont="1" applyFill="1" applyBorder="1"/>
    <xf numFmtId="0" fontId="0" fillId="0" borderId="44" xfId="0" applyFont="1" applyFill="1" applyBorder="1"/>
    <xf numFmtId="0" fontId="57" fillId="0" borderId="10" xfId="0" applyFont="1" applyFill="1" applyBorder="1"/>
    <xf numFmtId="0" fontId="0" fillId="0" borderId="10" xfId="0" applyFont="1" applyFill="1" applyBorder="1"/>
    <xf numFmtId="0" fontId="0" fillId="0" borderId="43" xfId="0" applyFont="1" applyFill="1" applyBorder="1"/>
    <xf numFmtId="0" fontId="57" fillId="0" borderId="41" xfId="0" applyFont="1" applyFill="1" applyBorder="1"/>
    <xf numFmtId="0" fontId="57" fillId="0" borderId="42" xfId="0" applyFont="1" applyFill="1" applyBorder="1"/>
    <xf numFmtId="170" fontId="57" fillId="0" borderId="38" xfId="0" applyNumberFormat="1" applyFont="1" applyFill="1" applyBorder="1"/>
    <xf numFmtId="0" fontId="57" fillId="0" borderId="0" xfId="0" applyFont="1" applyFill="1" applyBorder="1"/>
    <xf numFmtId="170" fontId="57" fillId="0" borderId="36" xfId="0" applyNumberFormat="1" applyFont="1" applyFill="1" applyBorder="1"/>
    <xf numFmtId="2" fontId="57" fillId="0" borderId="43" xfId="0" applyNumberFormat="1" applyFont="1" applyFill="1" applyBorder="1"/>
    <xf numFmtId="0" fontId="61" fillId="0" borderId="0" xfId="0" applyFont="1"/>
    <xf numFmtId="0" fontId="0" fillId="0" borderId="30" xfId="0" applyBorder="1" applyAlignment="1">
      <alignment horizontal="center"/>
    </xf>
    <xf numFmtId="0" fontId="57" fillId="0" borderId="0" xfId="0" applyFont="1" applyBorder="1" applyAlignment="1">
      <alignment horizontal="left"/>
    </xf>
    <xf numFmtId="0" fontId="22" fillId="0" borderId="34" xfId="0" applyFont="1" applyBorder="1" applyAlignment="1">
      <alignment wrapText="1"/>
    </xf>
    <xf numFmtId="0" fontId="0" fillId="0" borderId="33" xfId="0" applyFont="1" applyBorder="1" applyAlignment="1">
      <alignment horizontal="center" wrapText="1"/>
    </xf>
    <xf numFmtId="0" fontId="0" fillId="0" borderId="34" xfId="0" applyFont="1" applyBorder="1" applyAlignment="1">
      <alignment horizontal="center" wrapText="1"/>
    </xf>
    <xf numFmtId="0" fontId="6" fillId="0" borderId="17" xfId="0" applyFont="1" applyBorder="1"/>
    <xf numFmtId="0" fontId="6" fillId="0" borderId="0" xfId="0" applyFont="1" applyAlignment="1">
      <alignment horizontal="left"/>
    </xf>
    <xf numFmtId="0" fontId="21" fillId="25" borderId="0" xfId="0" applyFont="1" applyFill="1" applyAlignment="1">
      <alignment horizontal="left"/>
    </xf>
    <xf numFmtId="172" fontId="35" fillId="25" borderId="0" xfId="0" applyNumberFormat="1" applyFont="1" applyFill="1" applyAlignment="1">
      <alignment horizontal="center"/>
    </xf>
    <xf numFmtId="0" fontId="51" fillId="25" borderId="0" xfId="0" applyFont="1" applyFill="1" applyAlignment="1">
      <alignment horizontal="left"/>
    </xf>
    <xf numFmtId="166" fontId="24" fillId="26" borderId="13" xfId="0" applyNumberFormat="1" applyFont="1" applyFill="1" applyBorder="1" applyAlignment="1">
      <alignment horizontal="center"/>
    </xf>
    <xf numFmtId="2" fontId="24" fillId="0" borderId="0" xfId="0" applyNumberFormat="1" applyFont="1" applyAlignment="1">
      <alignment horizontal="center"/>
    </xf>
    <xf numFmtId="0" fontId="0" fillId="0" borderId="0" xfId="0" applyFill="1" applyAlignment="1">
      <alignment horizontal="right"/>
    </xf>
    <xf numFmtId="15" fontId="24" fillId="0" borderId="13" xfId="0" applyNumberFormat="1" applyFont="1" applyBorder="1" applyAlignment="1">
      <alignment horizontal="center"/>
    </xf>
    <xf numFmtId="49" fontId="24" fillId="0" borderId="0" xfId="39" applyNumberFormat="1" applyFont="1" applyFill="1" applyBorder="1" applyAlignment="1">
      <alignment horizontal="center"/>
    </xf>
    <xf numFmtId="0" fontId="0" fillId="0" borderId="0" xfId="0" applyFill="1" applyBorder="1" applyAlignment="1">
      <alignment horizontal="right"/>
    </xf>
    <xf numFmtId="179" fontId="24" fillId="0" borderId="0" xfId="0" applyNumberFormat="1" applyFont="1" applyAlignment="1">
      <alignment horizontal="center"/>
    </xf>
    <xf numFmtId="181" fontId="24" fillId="0" borderId="0" xfId="0" applyNumberFormat="1" applyFont="1" applyAlignment="1">
      <alignment horizontal="center"/>
    </xf>
    <xf numFmtId="0" fontId="0" fillId="0" borderId="0" xfId="0" applyAlignment="1">
      <alignment horizontal="right"/>
    </xf>
    <xf numFmtId="0" fontId="57" fillId="26" borderId="17" xfId="0" applyFont="1" applyFill="1" applyBorder="1" applyAlignment="1">
      <alignment horizontal="left"/>
    </xf>
    <xf numFmtId="0" fontId="57" fillId="26" borderId="17" xfId="0" applyFont="1" applyFill="1" applyBorder="1" applyAlignment="1">
      <alignment horizontal="center"/>
    </xf>
    <xf numFmtId="0" fontId="0" fillId="26" borderId="17" xfId="0" applyFill="1" applyBorder="1"/>
    <xf numFmtId="0" fontId="0" fillId="26" borderId="45" xfId="0" applyFill="1" applyBorder="1"/>
    <xf numFmtId="0" fontId="0" fillId="26" borderId="33" xfId="0" applyFill="1" applyBorder="1"/>
    <xf numFmtId="172" fontId="24" fillId="0" borderId="0" xfId="42" applyNumberFormat="1" applyFont="1"/>
    <xf numFmtId="0" fontId="24" fillId="0" borderId="0" xfId="41" applyFont="1"/>
    <xf numFmtId="49" fontId="64" fillId="0" borderId="46" xfId="0" applyNumberFormat="1" applyFont="1" applyBorder="1" applyAlignment="1">
      <alignment horizontal="right"/>
    </xf>
    <xf numFmtId="0" fontId="0" fillId="0" borderId="47" xfId="0" applyBorder="1" applyAlignment="1">
      <alignment horizontal="center"/>
    </xf>
    <xf numFmtId="0" fontId="65" fillId="0" borderId="47" xfId="0" applyFont="1" applyBorder="1" applyAlignment="1">
      <alignment horizontal="center"/>
    </xf>
    <xf numFmtId="0" fontId="0" fillId="0" borderId="48" xfId="0" applyBorder="1" applyAlignment="1">
      <alignment horizontal="center"/>
    </xf>
    <xf numFmtId="0" fontId="0" fillId="27" borderId="47" xfId="0" applyFill="1" applyBorder="1" applyAlignment="1">
      <alignment horizontal="center"/>
    </xf>
    <xf numFmtId="0" fontId="0" fillId="27" borderId="48" xfId="0" applyFill="1" applyBorder="1" applyAlignment="1">
      <alignment horizontal="center"/>
    </xf>
    <xf numFmtId="0" fontId="64" fillId="0" borderId="49" xfId="0" applyNumberFormat="1" applyFont="1" applyBorder="1" applyAlignment="1">
      <alignment horizontal="right"/>
    </xf>
    <xf numFmtId="0" fontId="0" fillId="27" borderId="20" xfId="0" applyFill="1" applyBorder="1"/>
    <xf numFmtId="0" fontId="0" fillId="27" borderId="20" xfId="0" applyFill="1" applyBorder="1" applyAlignment="1">
      <alignment horizontal="center"/>
    </xf>
    <xf numFmtId="0" fontId="0" fillId="27" borderId="50" xfId="0" applyFill="1" applyBorder="1" applyAlignment="1">
      <alignment horizontal="center"/>
    </xf>
    <xf numFmtId="0" fontId="0" fillId="0" borderId="20" xfId="0" applyBorder="1"/>
    <xf numFmtId="0" fontId="65" fillId="0" borderId="20" xfId="0" applyFont="1" applyBorder="1"/>
    <xf numFmtId="0" fontId="0" fillId="0" borderId="50" xfId="0" applyBorder="1" applyAlignment="1">
      <alignment horizontal="center"/>
    </xf>
    <xf numFmtId="0" fontId="0" fillId="27" borderId="50" xfId="0" applyFill="1" applyBorder="1"/>
    <xf numFmtId="49" fontId="64" fillId="0" borderId="49" xfId="0" applyNumberFormat="1" applyFont="1" applyBorder="1" applyAlignment="1">
      <alignment horizontal="right"/>
    </xf>
    <xf numFmtId="0" fontId="0" fillId="0" borderId="20" xfId="0" applyBorder="1" applyAlignment="1">
      <alignment horizontal="center"/>
    </xf>
    <xf numFmtId="0" fontId="0" fillId="0" borderId="50" xfId="0" applyBorder="1"/>
    <xf numFmtId="0" fontId="0" fillId="27" borderId="51" xfId="0" applyFill="1" applyBorder="1"/>
    <xf numFmtId="0" fontId="0" fillId="27" borderId="33" xfId="0" applyFill="1" applyBorder="1"/>
    <xf numFmtId="0" fontId="0" fillId="27" borderId="33" xfId="0" applyFill="1" applyBorder="1" applyAlignment="1">
      <alignment horizontal="center"/>
    </xf>
    <xf numFmtId="0" fontId="0" fillId="27" borderId="34" xfId="0" applyFill="1" applyBorder="1" applyAlignment="1">
      <alignment horizontal="center"/>
    </xf>
    <xf numFmtId="0" fontId="0" fillId="27" borderId="52" xfId="0" applyFill="1" applyBorder="1"/>
    <xf numFmtId="0" fontId="0" fillId="27" borderId="34" xfId="0" applyFill="1" applyBorder="1"/>
    <xf numFmtId="0" fontId="19" fillId="0" borderId="17" xfId="0" applyFont="1" applyBorder="1" applyAlignment="1">
      <alignment horizontal="center"/>
    </xf>
    <xf numFmtId="49" fontId="19" fillId="0" borderId="17" xfId="28" applyNumberFormat="1" applyFont="1" applyFill="1" applyBorder="1" applyAlignment="1" applyProtection="1">
      <alignment horizontal="right"/>
    </xf>
    <xf numFmtId="0" fontId="19" fillId="0" borderId="17" xfId="28" applyNumberFormat="1" applyFont="1" applyFill="1" applyBorder="1" applyAlignment="1" applyProtection="1">
      <alignment horizontal="left"/>
    </xf>
    <xf numFmtId="0" fontId="64" fillId="0" borderId="0" xfId="40" applyFont="1"/>
    <xf numFmtId="0" fontId="24" fillId="0" borderId="0" xfId="40" applyFont="1"/>
    <xf numFmtId="171" fontId="24" fillId="0" borderId="0" xfId="40" applyNumberFormat="1" applyFont="1" applyAlignment="1">
      <alignment horizontal="center"/>
    </xf>
    <xf numFmtId="0" fontId="6" fillId="0" borderId="0" xfId="40"/>
    <xf numFmtId="0" fontId="6" fillId="0" borderId="0" xfId="40" applyFont="1"/>
    <xf numFmtId="0" fontId="6" fillId="0" borderId="0" xfId="39" applyFont="1" applyAlignment="1">
      <alignment horizontal="center"/>
    </xf>
    <xf numFmtId="0" fontId="24" fillId="0" borderId="0" xfId="39" applyFont="1" applyAlignment="1">
      <alignment horizontal="center"/>
    </xf>
    <xf numFmtId="0" fontId="6" fillId="0" borderId="0" xfId="39" applyFont="1"/>
    <xf numFmtId="0" fontId="6" fillId="0" borderId="0" xfId="39" applyFont="1" applyFill="1"/>
    <xf numFmtId="0" fontId="24" fillId="0" borderId="0" xfId="0" applyFont="1" applyAlignment="1">
      <alignment horizontal="left"/>
    </xf>
    <xf numFmtId="0" fontId="57" fillId="26" borderId="33" xfId="0" applyFont="1" applyFill="1" applyBorder="1"/>
    <xf numFmtId="0" fontId="6"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xf numFmtId="0" fontId="0" fillId="0" borderId="0" xfId="0" applyFont="1" applyBorder="1"/>
    <xf numFmtId="0" fontId="60" fillId="20" borderId="39" xfId="0" applyFont="1" applyFill="1" applyBorder="1"/>
    <xf numFmtId="0" fontId="57" fillId="0" borderId="35" xfId="0" applyFont="1" applyFill="1" applyBorder="1"/>
    <xf numFmtId="0" fontId="57" fillId="0" borderId="37" xfId="0" applyFont="1" applyFill="1" applyBorder="1"/>
    <xf numFmtId="0" fontId="0" fillId="0" borderId="14" xfId="0" applyFont="1" applyBorder="1" applyAlignment="1">
      <alignment horizontal="center"/>
    </xf>
    <xf numFmtId="0" fontId="57" fillId="0" borderId="17" xfId="0" applyFont="1" applyBorder="1"/>
    <xf numFmtId="0" fontId="0" fillId="0" borderId="0" xfId="0" applyFont="1" applyBorder="1" applyAlignment="1">
      <alignment horizont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Sheet1"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10" xfId="39"/>
    <cellStyle name="Normal 19" xfId="40"/>
    <cellStyle name="Normal 24 2" xfId="41"/>
    <cellStyle name="Normal 25" xfId="42"/>
    <cellStyle name="Note" xfId="43" builtinId="10" customBuiltin="1"/>
    <cellStyle name="Output" xfId="44" builtinId="21" customBuiltin="1"/>
    <cellStyle name="Percent" xfId="45" builtinId="5"/>
    <cellStyle name="Title" xfId="46" builtinId="15" customBuiltin="1"/>
    <cellStyle name="Total" xfId="47" builtinId="25" customBuiltin="1"/>
    <cellStyle name="Warning Text" xfId="48" builtinId="11" customBuiltin="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watt/Desktop/Glider_configuration/523/TRIM/523_Ocean_7Feb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ight sheet"/>
      <sheetName val="Cal"/>
      <sheetName val="Trim"/>
      <sheetName val="Lead Worksheet"/>
      <sheetName val="Ballast"/>
      <sheetName val="Pres cal"/>
      <sheetName val="Tank _ PS notes"/>
      <sheetName val="Maint"/>
      <sheetName val="Motor Data"/>
      <sheetName val="Material"/>
      <sheetName val="sg_calib_constants"/>
      <sheetName val="CMDFILE"/>
      <sheetName val="As Built SN#s"/>
      <sheetName val="Ballasting Instructions"/>
      <sheetName val="Log"/>
    </sheetNames>
    <sheetDataSet>
      <sheetData sheetId="0">
        <row r="190">
          <cell r="F190">
            <v>52.46</v>
          </cell>
          <cell r="G190" t="str">
            <v>22.95</v>
          </cell>
          <cell r="H190" t="str">
            <v>21M</v>
          </cell>
        </row>
        <row r="208">
          <cell r="F208">
            <v>22.13</v>
          </cell>
          <cell r="G208">
            <v>10.27</v>
          </cell>
          <cell r="H208" t="str">
            <v>19B</v>
          </cell>
        </row>
        <row r="280">
          <cell r="F280">
            <v>36.04</v>
          </cell>
          <cell r="G280">
            <v>13.1</v>
          </cell>
          <cell r="H280" t="str">
            <v>038</v>
          </cell>
        </row>
        <row r="281">
          <cell r="F281">
            <v>25.01</v>
          </cell>
          <cell r="G281">
            <v>11.5</v>
          </cell>
          <cell r="H281" t="str">
            <v>005</v>
          </cell>
        </row>
        <row r="315">
          <cell r="H315" t="str">
            <v>300025010608750</v>
          </cell>
        </row>
      </sheetData>
      <sheetData sheetId="1"/>
      <sheetData sheetId="2">
        <row r="2">
          <cell r="C2">
            <v>523</v>
          </cell>
        </row>
        <row r="30">
          <cell r="M30">
            <v>1.5004925853808204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I183"/>
  <sheetViews>
    <sheetView tabSelected="1" topLeftCell="A75" workbookViewId="0">
      <selection activeCell="H73" sqref="H73"/>
    </sheetView>
  </sheetViews>
  <sheetFormatPr defaultColWidth="8.85546875" defaultRowHeight="12.75"/>
  <cols>
    <col min="1" max="1" width="28.28515625" customWidth="1"/>
    <col min="2" max="2" width="21.42578125" style="1" customWidth="1"/>
    <col min="3" max="3" width="20" customWidth="1"/>
    <col min="4" max="4" width="18.7109375" style="1" customWidth="1"/>
    <col min="5" max="5" width="11.85546875" customWidth="1"/>
  </cols>
  <sheetData>
    <row r="1" spans="1:6" ht="18">
      <c r="A1" s="2" t="s">
        <v>224</v>
      </c>
      <c r="B1" s="3"/>
      <c r="C1" s="4" t="s">
        <v>225</v>
      </c>
      <c r="D1" s="5">
        <v>523</v>
      </c>
    </row>
    <row r="2" spans="1:6" s="8" customFormat="1" ht="15.75">
      <c r="A2" s="6" t="s">
        <v>226</v>
      </c>
      <c r="B2" s="7">
        <f ca="1">NOW()</f>
        <v>41330.565204050923</v>
      </c>
      <c r="D2" s="1" t="s">
        <v>227</v>
      </c>
    </row>
    <row r="3" spans="1:6" s="8" customFormat="1" ht="16.5" thickBot="1">
      <c r="A3" s="6" t="s">
        <v>228</v>
      </c>
      <c r="B3" s="9">
        <f ca="1">NOW()</f>
        <v>41330.565204050923</v>
      </c>
      <c r="D3" s="10"/>
    </row>
    <row r="4" spans="1:6" ht="18.75" thickBot="1">
      <c r="A4" s="11" t="s">
        <v>229</v>
      </c>
      <c r="B4" s="634" t="s">
        <v>125</v>
      </c>
      <c r="C4" s="12" t="s">
        <v>230</v>
      </c>
      <c r="D4" s="13">
        <v>41312</v>
      </c>
      <c r="E4" s="508" t="s">
        <v>126</v>
      </c>
      <c r="F4" s="14"/>
    </row>
    <row r="5" spans="1:6" ht="15.75" thickBot="1">
      <c r="A5" s="6"/>
      <c r="B5" s="15"/>
    </row>
    <row r="6" spans="1:6" ht="18">
      <c r="A6" s="16" t="s">
        <v>231</v>
      </c>
      <c r="B6" s="17"/>
      <c r="C6" s="12" t="s">
        <v>230</v>
      </c>
      <c r="D6" s="13">
        <v>41312</v>
      </c>
      <c r="E6" s="18"/>
      <c r="F6" s="14"/>
    </row>
    <row r="7" spans="1:6">
      <c r="C7" s="19"/>
    </row>
    <row r="8" spans="1:6">
      <c r="B8" s="19" t="s">
        <v>232</v>
      </c>
      <c r="C8" s="20">
        <v>50</v>
      </c>
      <c r="D8" t="s">
        <v>60</v>
      </c>
    </row>
    <row r="9" spans="1:6">
      <c r="B9" s="19" t="s">
        <v>61</v>
      </c>
      <c r="C9" s="21">
        <v>50</v>
      </c>
      <c r="D9" t="s">
        <v>60</v>
      </c>
    </row>
    <row r="10" spans="1:6">
      <c r="A10" s="22"/>
      <c r="B10" s="22" t="s">
        <v>62</v>
      </c>
      <c r="C10" s="22" t="s">
        <v>63</v>
      </c>
      <c r="D10" s="22" t="s">
        <v>64</v>
      </c>
    </row>
    <row r="11" spans="1:6">
      <c r="A11" s="23" t="s">
        <v>65</v>
      </c>
      <c r="B11" s="24">
        <v>20</v>
      </c>
      <c r="C11" s="25">
        <f>B11+C$8</f>
        <v>70</v>
      </c>
      <c r="D11" s="26">
        <f>(C11-C14)*B16</f>
        <v>-7.8822349748012348</v>
      </c>
    </row>
    <row r="12" spans="1:6">
      <c r="A12" s="23" t="s">
        <v>66</v>
      </c>
      <c r="B12" s="24">
        <v>3890</v>
      </c>
      <c r="C12" s="25">
        <f>B12-C$9</f>
        <v>3840</v>
      </c>
      <c r="D12" s="26">
        <f>(C12-C14)*B16</f>
        <v>3.9018920093257492</v>
      </c>
    </row>
    <row r="13" spans="1:6">
      <c r="A13" s="23" t="s">
        <v>67</v>
      </c>
      <c r="B13" s="27"/>
      <c r="C13" s="27"/>
      <c r="D13" s="26">
        <f>D12-D11</f>
        <v>11.784126984126985</v>
      </c>
    </row>
    <row r="14" spans="1:6">
      <c r="A14" s="23" t="s">
        <v>68</v>
      </c>
      <c r="B14" s="28" t="s">
        <v>69</v>
      </c>
      <c r="C14" s="29">
        <f>Trim!E27</f>
        <v>2591.6993923289888</v>
      </c>
      <c r="D14" s="30">
        <f>(C14-C14)*B17</f>
        <v>0</v>
      </c>
    </row>
    <row r="15" spans="1:6">
      <c r="A15" s="19"/>
      <c r="C15" s="19" t="s">
        <v>70</v>
      </c>
      <c r="D15" s="1">
        <v>12.8</v>
      </c>
    </row>
    <row r="16" spans="1:6">
      <c r="A16" s="23" t="s">
        <v>71</v>
      </c>
      <c r="B16" s="31">
        <f>12.8/4095</f>
        <v>3.1257631257631258E-3</v>
      </c>
      <c r="C16" t="s">
        <v>72</v>
      </c>
      <c r="D16" s="15" t="s">
        <v>73</v>
      </c>
    </row>
    <row r="17" spans="1:6">
      <c r="A17" s="19" t="s">
        <v>74</v>
      </c>
      <c r="B17" s="32">
        <f>1/B16</f>
        <v>319.921875</v>
      </c>
      <c r="C17" t="s">
        <v>75</v>
      </c>
      <c r="D17" s="15"/>
    </row>
    <row r="18" spans="1:6">
      <c r="A18" s="19" t="s">
        <v>76</v>
      </c>
      <c r="B18" s="15" t="s">
        <v>77</v>
      </c>
      <c r="D18" s="15"/>
    </row>
    <row r="19" spans="1:6">
      <c r="A19" s="19"/>
      <c r="B19" s="15" t="s">
        <v>78</v>
      </c>
      <c r="D19" s="15"/>
    </row>
    <row r="20" spans="1:6">
      <c r="A20" s="19"/>
      <c r="B20" s="33"/>
    </row>
    <row r="21" spans="1:6" ht="18">
      <c r="A21" s="16" t="s">
        <v>79</v>
      </c>
      <c r="B21" s="17"/>
      <c r="C21" s="12" t="s">
        <v>230</v>
      </c>
      <c r="D21" s="13">
        <v>41312</v>
      </c>
      <c r="F21" s="14"/>
    </row>
    <row r="23" spans="1:6">
      <c r="B23" s="19" t="s">
        <v>80</v>
      </c>
      <c r="C23" s="34">
        <v>150</v>
      </c>
      <c r="D23" t="s">
        <v>60</v>
      </c>
    </row>
    <row r="24" spans="1:6">
      <c r="A24" s="22"/>
      <c r="B24" s="22" t="s">
        <v>62</v>
      </c>
      <c r="C24" s="22" t="s">
        <v>63</v>
      </c>
      <c r="D24" s="22" t="s">
        <v>81</v>
      </c>
    </row>
    <row r="25" spans="1:6">
      <c r="A25" s="23" t="s">
        <v>82</v>
      </c>
      <c r="B25" s="24">
        <v>67</v>
      </c>
      <c r="C25" s="25">
        <f>B25+C$23</f>
        <v>217</v>
      </c>
      <c r="D25" s="26">
        <f>(C25-C27)*B30</f>
        <v>-62.27881</v>
      </c>
    </row>
    <row r="26" spans="1:6">
      <c r="A26" s="23" t="s">
        <v>83</v>
      </c>
      <c r="B26" s="24">
        <v>3997</v>
      </c>
      <c r="C26" s="25">
        <f>B26-C$23</f>
        <v>3847</v>
      </c>
      <c r="D26" s="26">
        <f>(C26-C27)*B30</f>
        <v>40.341290000000001</v>
      </c>
    </row>
    <row r="27" spans="1:6">
      <c r="A27" s="23" t="s">
        <v>84</v>
      </c>
      <c r="B27" s="22"/>
      <c r="C27" s="35">
        <v>2420</v>
      </c>
      <c r="D27" s="18" t="s">
        <v>85</v>
      </c>
    </row>
    <row r="28" spans="1:6">
      <c r="A28" s="23" t="s">
        <v>86</v>
      </c>
      <c r="B28" s="36">
        <f>C25+(C26-C25)/2</f>
        <v>2032</v>
      </c>
      <c r="C28" s="35">
        <v>2300</v>
      </c>
      <c r="D28" s="18" t="s">
        <v>87</v>
      </c>
    </row>
    <row r="29" spans="1:6">
      <c r="A29" s="19"/>
    </row>
    <row r="30" spans="1:6">
      <c r="A30" s="23" t="s">
        <v>71</v>
      </c>
      <c r="B30" s="31">
        <v>2.827E-2</v>
      </c>
      <c r="C30" t="s">
        <v>88</v>
      </c>
      <c r="D30" s="15" t="s">
        <v>89</v>
      </c>
    </row>
    <row r="31" spans="1:6">
      <c r="A31" s="19" t="s">
        <v>74</v>
      </c>
      <c r="B31" s="31">
        <v>35.369999999999997</v>
      </c>
      <c r="C31" t="s">
        <v>90</v>
      </c>
      <c r="D31" s="15"/>
    </row>
    <row r="32" spans="1:6">
      <c r="A32" s="19" t="s">
        <v>91</v>
      </c>
      <c r="B32" s="15" t="s">
        <v>92</v>
      </c>
      <c r="D32" s="15"/>
    </row>
    <row r="34" spans="1:5" ht="18">
      <c r="A34" s="16" t="s">
        <v>93</v>
      </c>
      <c r="B34" s="17"/>
      <c r="C34" s="12" t="s">
        <v>230</v>
      </c>
      <c r="D34" s="13">
        <v>41312</v>
      </c>
    </row>
    <row r="35" spans="1:5">
      <c r="C35" s="19"/>
      <c r="E35" s="18"/>
    </row>
    <row r="36" spans="1:5">
      <c r="A36" s="19" t="s">
        <v>94</v>
      </c>
      <c r="B36" s="37">
        <v>90</v>
      </c>
      <c r="C36" t="s">
        <v>95</v>
      </c>
    </row>
    <row r="37" spans="1:5">
      <c r="A37" s="19" t="s">
        <v>96</v>
      </c>
      <c r="B37" s="38">
        <v>1527104</v>
      </c>
      <c r="D37" s="15"/>
    </row>
    <row r="38" spans="1:5">
      <c r="B38" s="19" t="s">
        <v>80</v>
      </c>
      <c r="C38" s="34">
        <v>100</v>
      </c>
      <c r="D38" t="s">
        <v>60</v>
      </c>
    </row>
    <row r="39" spans="1:5">
      <c r="A39" s="22"/>
      <c r="B39" s="22" t="s">
        <v>62</v>
      </c>
      <c r="C39" s="22" t="s">
        <v>63</v>
      </c>
      <c r="D39" s="22" t="s">
        <v>97</v>
      </c>
    </row>
    <row r="40" spans="1:5">
      <c r="A40" s="23" t="s">
        <v>98</v>
      </c>
      <c r="B40" s="24">
        <v>340</v>
      </c>
      <c r="C40" s="39">
        <f>B40+C$38</f>
        <v>440</v>
      </c>
      <c r="D40" s="25">
        <f>(C40-C43)*B45</f>
        <v>665.52683515716876</v>
      </c>
    </row>
    <row r="41" spans="1:5">
      <c r="A41" s="23" t="s">
        <v>99</v>
      </c>
      <c r="B41" s="24">
        <v>4060</v>
      </c>
      <c r="C41" s="39">
        <f>B41-C38</f>
        <v>3960</v>
      </c>
      <c r="D41" s="25">
        <f>(C41-C43)*B45</f>
        <v>-197.91508484283119</v>
      </c>
      <c r="E41" s="40"/>
    </row>
    <row r="42" spans="1:5">
      <c r="A42" s="23" t="s">
        <v>100</v>
      </c>
      <c r="B42" s="27"/>
      <c r="C42" s="41"/>
      <c r="D42" s="25">
        <f>D40-D41</f>
        <v>863.44191999999998</v>
      </c>
      <c r="E42" s="40"/>
    </row>
    <row r="43" spans="1:5">
      <c r="A43" s="23" t="s">
        <v>101</v>
      </c>
      <c r="B43" s="22" t="s">
        <v>130</v>
      </c>
      <c r="C43" s="42">
        <f>Trim!E20</f>
        <v>3153.158123887747</v>
      </c>
      <c r="D43" s="22" t="s">
        <v>131</v>
      </c>
      <c r="E43" s="40"/>
    </row>
    <row r="44" spans="1:5">
      <c r="B44" s="43"/>
    </row>
    <row r="45" spans="1:5">
      <c r="A45" s="23" t="s">
        <v>71</v>
      </c>
      <c r="B45" s="44">
        <v>-0.24529599999999999</v>
      </c>
      <c r="C45" t="s">
        <v>132</v>
      </c>
      <c r="D45" s="15" t="s">
        <v>133</v>
      </c>
    </row>
    <row r="46" spans="1:5">
      <c r="A46" s="19" t="s">
        <v>74</v>
      </c>
      <c r="B46" s="45">
        <f>1/B45</f>
        <v>-4.0767073250277219</v>
      </c>
      <c r="C46" t="s">
        <v>134</v>
      </c>
      <c r="D46" s="15"/>
    </row>
    <row r="47" spans="1:5">
      <c r="A47" s="19" t="s">
        <v>135</v>
      </c>
      <c r="B47" s="15" t="s">
        <v>136</v>
      </c>
      <c r="D47" s="15"/>
    </row>
    <row r="48" spans="1:5">
      <c r="A48" s="19"/>
      <c r="B48" s="19" t="s">
        <v>137</v>
      </c>
      <c r="D48" s="15"/>
    </row>
    <row r="50" spans="1:6" ht="18">
      <c r="A50" s="16" t="s">
        <v>138</v>
      </c>
      <c r="B50" s="17"/>
      <c r="C50" s="12" t="s">
        <v>230</v>
      </c>
      <c r="D50" s="586">
        <v>41312</v>
      </c>
      <c r="F50" s="14"/>
    </row>
    <row r="51" spans="1:6">
      <c r="A51" s="46" t="s">
        <v>0</v>
      </c>
      <c r="C51" s="19"/>
      <c r="E51" s="18"/>
    </row>
    <row r="52" spans="1:6">
      <c r="B52" s="1" t="s">
        <v>1</v>
      </c>
    </row>
    <row r="53" spans="1:6">
      <c r="A53" s="19" t="s">
        <v>2</v>
      </c>
      <c r="B53" s="47" t="str">
        <f>'Pres cal'!B3</f>
        <v>Paine</v>
      </c>
      <c r="C53" s="18"/>
      <c r="D53" s="28"/>
    </row>
    <row r="54" spans="1:6">
      <c r="A54" s="19" t="s">
        <v>3</v>
      </c>
      <c r="B54" s="47" t="str">
        <f>'Pres cal'!B4</f>
        <v>211-75-710-05</v>
      </c>
      <c r="C54" s="18"/>
    </row>
    <row r="55" spans="1:6">
      <c r="A55" s="48" t="s">
        <v>4</v>
      </c>
      <c r="B55" s="49">
        <v>256129</v>
      </c>
      <c r="C55" s="18"/>
      <c r="D55" s="19"/>
    </row>
    <row r="56" spans="1:6">
      <c r="A56" s="48" t="s">
        <v>5</v>
      </c>
      <c r="B56" s="50">
        <v>40185</v>
      </c>
      <c r="C56" s="18"/>
    </row>
    <row r="57" spans="1:6">
      <c r="A57" s="19" t="s">
        <v>6</v>
      </c>
      <c r="B57" s="49">
        <f>'Pres cal'!B7</f>
        <v>128</v>
      </c>
      <c r="C57" s="51"/>
      <c r="D57" s="52" t="s">
        <v>7</v>
      </c>
    </row>
    <row r="58" spans="1:6">
      <c r="A58" s="23" t="s">
        <v>8</v>
      </c>
      <c r="B58" s="53">
        <f>'Pres cal'!B8</f>
        <v>14.7</v>
      </c>
    </row>
    <row r="59" spans="1:6">
      <c r="A59" s="19" t="s">
        <v>9</v>
      </c>
      <c r="B59" s="53">
        <f>'Pres cal'!B9</f>
        <v>0</v>
      </c>
      <c r="C59" s="54" t="s">
        <v>10</v>
      </c>
    </row>
    <row r="60" spans="1:6">
      <c r="A60" s="19" t="s">
        <v>11</v>
      </c>
      <c r="B60" s="55">
        <v>1.1597706287218201E-4</v>
      </c>
      <c r="C60" s="56" t="s">
        <v>12</v>
      </c>
    </row>
    <row r="61" spans="1:6">
      <c r="A61" s="23" t="s">
        <v>13</v>
      </c>
      <c r="B61" s="57">
        <v>-48.15</v>
      </c>
      <c r="C61" s="58" t="s">
        <v>14</v>
      </c>
      <c r="D61"/>
    </row>
    <row r="62" spans="1:6">
      <c r="A62" s="23" t="s">
        <v>15</v>
      </c>
      <c r="B62" s="57">
        <v>-32.979999999999997</v>
      </c>
      <c r="C62" s="54" t="s">
        <v>16</v>
      </c>
      <c r="D62"/>
    </row>
    <row r="63" spans="1:6">
      <c r="B63" s="59" t="s">
        <v>17</v>
      </c>
      <c r="C63" s="60" t="s">
        <v>18</v>
      </c>
      <c r="D63"/>
    </row>
    <row r="64" spans="1:6" ht="18">
      <c r="A64" s="16" t="s">
        <v>19</v>
      </c>
      <c r="B64" s="61"/>
      <c r="C64" s="12" t="s">
        <v>230</v>
      </c>
      <c r="D64" s="583">
        <v>41326</v>
      </c>
    </row>
    <row r="65" spans="1:6" ht="12.75" customHeight="1">
      <c r="A65" s="62"/>
      <c r="B65" s="36"/>
      <c r="C65" s="23"/>
      <c r="D65" s="63"/>
      <c r="F65" s="14"/>
    </row>
    <row r="66" spans="1:6">
      <c r="A66" s="64" t="s">
        <v>20</v>
      </c>
      <c r="B66" s="38">
        <v>14.57</v>
      </c>
      <c r="C66" s="19" t="s">
        <v>21</v>
      </c>
      <c r="D66" s="36">
        <v>9.52</v>
      </c>
      <c r="F66" s="14"/>
    </row>
    <row r="67" spans="1:6">
      <c r="A67" s="64" t="s">
        <v>287</v>
      </c>
      <c r="B67" s="584">
        <v>55.27</v>
      </c>
      <c r="C67" s="64" t="s">
        <v>288</v>
      </c>
      <c r="D67" s="584">
        <v>46.77</v>
      </c>
      <c r="F67" s="14"/>
    </row>
    <row r="68" spans="1:6">
      <c r="D68" s="66"/>
      <c r="F68" s="14"/>
    </row>
    <row r="69" spans="1:6" ht="18">
      <c r="A69" s="16" t="s">
        <v>289</v>
      </c>
      <c r="B69" s="17"/>
      <c r="C69" s="12" t="s">
        <v>230</v>
      </c>
      <c r="D69" s="583">
        <v>41326</v>
      </c>
    </row>
    <row r="70" spans="1:6">
      <c r="B70" s="15"/>
      <c r="C70" s="19"/>
      <c r="E70" s="18"/>
    </row>
    <row r="71" spans="1:6">
      <c r="A71" s="19" t="s">
        <v>290</v>
      </c>
      <c r="B71" s="38" t="s">
        <v>291</v>
      </c>
    </row>
    <row r="72" spans="1:6">
      <c r="A72" s="19" t="s">
        <v>292</v>
      </c>
      <c r="B72" s="38" t="s">
        <v>22</v>
      </c>
    </row>
    <row r="73" spans="1:6">
      <c r="A73" s="19" t="s">
        <v>139</v>
      </c>
      <c r="B73" s="38" t="s">
        <v>23</v>
      </c>
    </row>
    <row r="74" spans="1:6">
      <c r="A74" s="19" t="s">
        <v>140</v>
      </c>
      <c r="B74" s="38">
        <v>7.4</v>
      </c>
    </row>
    <row r="75" spans="1:6">
      <c r="A75" s="19" t="s">
        <v>141</v>
      </c>
      <c r="B75" s="38">
        <v>9846005</v>
      </c>
    </row>
    <row r="76" spans="1:6">
      <c r="A76" s="585" t="s">
        <v>24</v>
      </c>
      <c r="B76" s="68">
        <v>41325</v>
      </c>
      <c r="C76" s="14"/>
      <c r="D76" s="69"/>
      <c r="F76" s="70"/>
    </row>
    <row r="77" spans="1:6">
      <c r="A77" s="67" t="s">
        <v>142</v>
      </c>
      <c r="B77" s="68">
        <v>41326</v>
      </c>
      <c r="C77" s="14"/>
      <c r="D77" s="69"/>
      <c r="E77" s="14"/>
      <c r="F77" s="14"/>
    </row>
    <row r="78" spans="1:6" s="14" customFormat="1">
      <c r="A78" s="19"/>
      <c r="B78" s="1"/>
      <c r="C78"/>
      <c r="D78" s="1"/>
    </row>
    <row r="79" spans="1:6" ht="18">
      <c r="A79" s="16" t="s">
        <v>143</v>
      </c>
      <c r="B79" s="17"/>
      <c r="C79" s="12" t="s">
        <v>230</v>
      </c>
      <c r="D79" s="13">
        <v>41312</v>
      </c>
    </row>
    <row r="80" spans="1:6">
      <c r="C80" s="19"/>
      <c r="E80" s="18"/>
    </row>
    <row r="81" spans="1:6">
      <c r="A81" s="64" t="s">
        <v>3</v>
      </c>
      <c r="B81" s="38">
        <v>52290</v>
      </c>
      <c r="C81" s="1"/>
      <c r="F81" s="14"/>
    </row>
    <row r="82" spans="1:6">
      <c r="A82" s="19" t="s">
        <v>144</v>
      </c>
      <c r="B82" s="38" t="s">
        <v>145</v>
      </c>
      <c r="F82" s="14"/>
    </row>
    <row r="83" spans="1:6">
      <c r="A83" s="19" t="s">
        <v>146</v>
      </c>
      <c r="B83" s="71" t="s">
        <v>25</v>
      </c>
      <c r="F83" s="14"/>
    </row>
    <row r="84" spans="1:6">
      <c r="A84" s="19" t="s">
        <v>147</v>
      </c>
      <c r="B84" s="38" t="s">
        <v>148</v>
      </c>
      <c r="C84" t="s">
        <v>149</v>
      </c>
    </row>
    <row r="85" spans="1:6">
      <c r="A85" s="19" t="s">
        <v>150</v>
      </c>
      <c r="B85" s="37">
        <v>9673070</v>
      </c>
    </row>
    <row r="86" spans="1:6">
      <c r="A86" s="19" t="s">
        <v>151</v>
      </c>
      <c r="B86" s="38" t="s">
        <v>152</v>
      </c>
      <c r="C86" t="s">
        <v>153</v>
      </c>
    </row>
    <row r="87" spans="1:6">
      <c r="A87" s="67" t="s">
        <v>139</v>
      </c>
      <c r="B87" s="72" t="s">
        <v>26</v>
      </c>
      <c r="C87" s="14"/>
      <c r="D87" s="69"/>
    </row>
    <row r="88" spans="1:6" s="14" customFormat="1">
      <c r="A88" s="19" t="s">
        <v>154</v>
      </c>
      <c r="B88" s="38" t="s">
        <v>155</v>
      </c>
      <c r="C88"/>
      <c r="D88" s="1"/>
    </row>
    <row r="89" spans="1:6">
      <c r="A89" s="19" t="s">
        <v>156</v>
      </c>
      <c r="B89" s="38" t="s">
        <v>157</v>
      </c>
    </row>
    <row r="90" spans="1:6">
      <c r="A90" s="19" t="s">
        <v>158</v>
      </c>
      <c r="B90" s="38" t="s">
        <v>159</v>
      </c>
    </row>
    <row r="91" spans="1:6">
      <c r="A91" s="67"/>
      <c r="B91" s="73">
        <v>23363</v>
      </c>
      <c r="C91" s="14"/>
      <c r="D91" s="69"/>
    </row>
    <row r="92" spans="1:6" s="14" customFormat="1">
      <c r="A92" s="19" t="s">
        <v>160</v>
      </c>
      <c r="B92" s="37" t="s">
        <v>161</v>
      </c>
      <c r="C92" t="s">
        <v>162</v>
      </c>
      <c r="D92" s="1"/>
    </row>
    <row r="93" spans="1:6">
      <c r="B93" s="74"/>
    </row>
    <row r="94" spans="1:6" ht="18">
      <c r="A94" s="16" t="s">
        <v>163</v>
      </c>
      <c r="B94" s="17"/>
      <c r="C94" s="12" t="s">
        <v>230</v>
      </c>
      <c r="D94" s="13">
        <v>41312</v>
      </c>
    </row>
    <row r="95" spans="1:6">
      <c r="B95" s="54"/>
      <c r="C95" s="19"/>
      <c r="E95" s="18"/>
    </row>
    <row r="96" spans="1:6">
      <c r="A96" s="19" t="s">
        <v>164</v>
      </c>
      <c r="B96" s="75" t="s">
        <v>165</v>
      </c>
      <c r="C96" s="76"/>
    </row>
    <row r="97" spans="1:6">
      <c r="A97" s="19" t="s">
        <v>166</v>
      </c>
      <c r="B97" s="75" t="s">
        <v>167</v>
      </c>
      <c r="C97" s="76"/>
    </row>
    <row r="98" spans="1:6">
      <c r="A98" s="19" t="s">
        <v>168</v>
      </c>
      <c r="B98" s="77" t="s">
        <v>28</v>
      </c>
      <c r="C98" s="76"/>
      <c r="F98" s="14"/>
    </row>
    <row r="99" spans="1:6">
      <c r="A99" s="19"/>
      <c r="B99" s="36"/>
      <c r="C99" s="76"/>
      <c r="F99" s="14"/>
    </row>
    <row r="100" spans="1:6">
      <c r="A100" s="19" t="s">
        <v>169</v>
      </c>
      <c r="B100" s="78" t="s">
        <v>27</v>
      </c>
      <c r="C100" s="54"/>
      <c r="F100" s="14"/>
    </row>
    <row r="101" spans="1:6">
      <c r="A101" s="19" t="s">
        <v>170</v>
      </c>
      <c r="B101" s="38" t="s">
        <v>29</v>
      </c>
      <c r="C101" s="76"/>
      <c r="F101" s="14"/>
    </row>
    <row r="102" spans="1:6">
      <c r="A102" s="19"/>
      <c r="B102" s="36"/>
      <c r="C102" s="76"/>
      <c r="F102" s="14"/>
    </row>
    <row r="103" spans="1:6">
      <c r="A103" s="19" t="s">
        <v>172</v>
      </c>
      <c r="B103" s="31" t="s">
        <v>173</v>
      </c>
      <c r="C103" s="76"/>
    </row>
    <row r="104" spans="1:6">
      <c r="A104" s="19" t="s">
        <v>174</v>
      </c>
      <c r="B104" s="31">
        <v>3013</v>
      </c>
      <c r="C104" s="76"/>
    </row>
    <row r="105" spans="1:6">
      <c r="A105" s="19" t="s">
        <v>175</v>
      </c>
      <c r="B105" s="38">
        <v>5223</v>
      </c>
      <c r="C105" s="76"/>
    </row>
    <row r="106" spans="1:6">
      <c r="C106" s="22"/>
    </row>
    <row r="107" spans="1:6" ht="18">
      <c r="A107" s="16" t="s">
        <v>176</v>
      </c>
      <c r="B107" s="17"/>
      <c r="C107" s="12" t="s">
        <v>230</v>
      </c>
      <c r="D107" s="13">
        <v>41312</v>
      </c>
    </row>
    <row r="108" spans="1:6">
      <c r="C108" s="19"/>
      <c r="E108" s="18"/>
    </row>
    <row r="109" spans="1:6">
      <c r="A109" s="19" t="s">
        <v>2</v>
      </c>
      <c r="B109" s="31" t="s">
        <v>177</v>
      </c>
    </row>
    <row r="110" spans="1:6">
      <c r="A110" s="19" t="s">
        <v>178</v>
      </c>
      <c r="B110" s="31">
        <v>955</v>
      </c>
    </row>
    <row r="111" spans="1:6">
      <c r="A111" s="19" t="s">
        <v>179</v>
      </c>
      <c r="B111" s="71" t="s">
        <v>30</v>
      </c>
      <c r="D111" s="19"/>
    </row>
    <row r="112" spans="1:6">
      <c r="A112" s="19" t="s">
        <v>180</v>
      </c>
      <c r="B112" s="71" t="s">
        <v>31</v>
      </c>
      <c r="D112" s="19"/>
    </row>
    <row r="113" spans="1:6">
      <c r="A113" s="19" t="s">
        <v>181</v>
      </c>
      <c r="B113" s="38" t="s">
        <v>32</v>
      </c>
      <c r="D113" s="19"/>
    </row>
    <row r="114" spans="1:6">
      <c r="A114" s="19"/>
      <c r="B114" s="38"/>
      <c r="D114" s="19"/>
    </row>
    <row r="115" spans="1:6">
      <c r="A115" s="19" t="s">
        <v>182</v>
      </c>
      <c r="B115" s="79">
        <v>13</v>
      </c>
      <c r="C115" t="s">
        <v>183</v>
      </c>
      <c r="D115" s="15"/>
      <c r="F115" s="14"/>
    </row>
    <row r="116" spans="1:6">
      <c r="A116" s="19" t="s">
        <v>52</v>
      </c>
      <c r="B116" s="79">
        <v>11.5</v>
      </c>
      <c r="C116" t="s">
        <v>183</v>
      </c>
      <c r="F116" s="14"/>
    </row>
    <row r="117" spans="1:6">
      <c r="A117" s="19" t="s">
        <v>53</v>
      </c>
      <c r="B117" s="72" t="s">
        <v>33</v>
      </c>
      <c r="C117" t="s">
        <v>54</v>
      </c>
      <c r="F117" s="14"/>
    </row>
    <row r="118" spans="1:6">
      <c r="A118" s="19"/>
      <c r="B118" s="65"/>
    </row>
    <row r="119" spans="1:6" ht="18">
      <c r="A119" s="16" t="s">
        <v>55</v>
      </c>
      <c r="B119" s="17"/>
      <c r="C119" s="12" t="s">
        <v>230</v>
      </c>
      <c r="D119" s="583">
        <v>41312</v>
      </c>
    </row>
    <row r="120" spans="1:6">
      <c r="B120" s="15"/>
      <c r="D120"/>
      <c r="E120" s="18"/>
    </row>
    <row r="121" spans="1:6">
      <c r="A121" s="19" t="s">
        <v>178</v>
      </c>
      <c r="B121" s="31" t="s">
        <v>190</v>
      </c>
    </row>
    <row r="122" spans="1:6">
      <c r="A122" s="67" t="s">
        <v>191</v>
      </c>
      <c r="B122" s="80" t="s">
        <v>34</v>
      </c>
      <c r="C122" s="14"/>
      <c r="D122" s="69"/>
    </row>
    <row r="123" spans="1:6" s="14" customFormat="1">
      <c r="A123" s="19" t="s">
        <v>192</v>
      </c>
      <c r="B123" s="80" t="s">
        <v>35</v>
      </c>
      <c r="D123" s="69"/>
    </row>
    <row r="124" spans="1:6" s="14" customFormat="1">
      <c r="A124" s="67" t="s">
        <v>193</v>
      </c>
      <c r="B124" s="587" t="s">
        <v>36</v>
      </c>
      <c r="C124" s="69" t="s">
        <v>37</v>
      </c>
      <c r="D124" s="69" t="s">
        <v>38</v>
      </c>
    </row>
    <row r="125" spans="1:6" s="14" customFormat="1">
      <c r="A125" s="67" t="s">
        <v>194</v>
      </c>
      <c r="B125" s="37" t="str">
        <f>'[1]Weight sheet'!H315</f>
        <v>300025010608750</v>
      </c>
      <c r="C125" s="37">
        <v>3648</v>
      </c>
      <c r="D125" s="81">
        <v>3733</v>
      </c>
    </row>
    <row r="127" spans="1:6" ht="18">
      <c r="A127" s="16" t="s">
        <v>195</v>
      </c>
      <c r="B127" s="17"/>
      <c r="C127" s="12" t="s">
        <v>230</v>
      </c>
      <c r="D127" s="583">
        <v>41312</v>
      </c>
    </row>
    <row r="128" spans="1:6">
      <c r="B128" s="54"/>
      <c r="C128" s="22"/>
      <c r="D128"/>
      <c r="E128" s="18"/>
    </row>
    <row r="129" spans="1:9">
      <c r="A129" s="19" t="s">
        <v>196</v>
      </c>
      <c r="B129" s="82">
        <v>73</v>
      </c>
      <c r="C129" s="22"/>
    </row>
    <row r="130" spans="1:9">
      <c r="A130" s="19" t="s">
        <v>197</v>
      </c>
      <c r="B130" s="82">
        <f>B129</f>
        <v>73</v>
      </c>
      <c r="C130" s="22"/>
    </row>
    <row r="131" spans="1:9">
      <c r="A131" s="19" t="s">
        <v>198</v>
      </c>
      <c r="B131" s="82">
        <f>B129</f>
        <v>73</v>
      </c>
      <c r="C131" s="22"/>
    </row>
    <row r="132" spans="1:9">
      <c r="A132" s="19" t="s">
        <v>199</v>
      </c>
      <c r="B132" s="63">
        <v>40925</v>
      </c>
      <c r="C132" s="22"/>
      <c r="F132" s="14"/>
    </row>
    <row r="133" spans="1:9">
      <c r="A133" s="636" t="s">
        <v>200</v>
      </c>
      <c r="B133" s="636"/>
      <c r="C133" s="637" t="s">
        <v>201</v>
      </c>
      <c r="D133" s="637"/>
      <c r="E133" s="14"/>
      <c r="F133" s="14"/>
    </row>
    <row r="134" spans="1:9">
      <c r="A134" s="83" t="s">
        <v>202</v>
      </c>
      <c r="B134" s="84">
        <v>-10.0323449</v>
      </c>
      <c r="C134" s="83" t="s">
        <v>202</v>
      </c>
      <c r="D134" s="84">
        <v>4.2940479300000002E-3</v>
      </c>
      <c r="E134" s="14"/>
      <c r="F134" s="14"/>
    </row>
    <row r="135" spans="1:9">
      <c r="A135" s="83" t="s">
        <v>203</v>
      </c>
      <c r="B135" s="84">
        <v>1.1112346900000001</v>
      </c>
      <c r="C135" s="83" t="s">
        <v>203</v>
      </c>
      <c r="D135" s="84">
        <v>6.2789384999999999E-4</v>
      </c>
      <c r="E135" s="14"/>
      <c r="F135" s="14"/>
    </row>
    <row r="136" spans="1:9">
      <c r="A136" s="83" t="s">
        <v>204</v>
      </c>
      <c r="B136" s="84">
        <v>3.6120036900000002E-3</v>
      </c>
      <c r="C136" s="83" t="s">
        <v>204</v>
      </c>
      <c r="D136" s="84">
        <v>2.28773646E-5</v>
      </c>
      <c r="E136" s="14"/>
      <c r="F136" s="14"/>
    </row>
    <row r="137" spans="1:9">
      <c r="A137" s="83" t="s">
        <v>205</v>
      </c>
      <c r="B137" s="84">
        <v>-1.79789474E-4</v>
      </c>
      <c r="C137" s="83" t="s">
        <v>205</v>
      </c>
      <c r="D137" s="84">
        <v>2.3382992699999998E-6</v>
      </c>
      <c r="E137" s="14"/>
      <c r="F137" s="14"/>
    </row>
    <row r="138" spans="1:9">
      <c r="A138" s="85" t="s">
        <v>206</v>
      </c>
      <c r="B138" s="86">
        <v>-9.5700000000000003E-8</v>
      </c>
      <c r="C138" s="85" t="s">
        <v>207</v>
      </c>
      <c r="D138" s="87">
        <v>1000</v>
      </c>
      <c r="E138" s="14"/>
      <c r="F138" s="14"/>
    </row>
    <row r="139" spans="1:9">
      <c r="A139" s="85" t="s">
        <v>208</v>
      </c>
      <c r="B139" s="84">
        <v>3.2499999999999998E-6</v>
      </c>
      <c r="C139" s="85"/>
      <c r="D139" s="88"/>
      <c r="E139" s="14"/>
      <c r="F139" s="14"/>
    </row>
    <row r="140" spans="1:9">
      <c r="F140" s="14"/>
    </row>
    <row r="141" spans="1:9" ht="18.75" thickBot="1">
      <c r="A141" s="16" t="s">
        <v>209</v>
      </c>
      <c r="B141" s="17"/>
      <c r="C141" s="12" t="s">
        <v>230</v>
      </c>
      <c r="D141" s="583">
        <v>41312</v>
      </c>
    </row>
    <row r="142" spans="1:9">
      <c r="B142" s="22" t="s">
        <v>40</v>
      </c>
      <c r="C142" s="22" t="s">
        <v>41</v>
      </c>
      <c r="D142" s="89"/>
      <c r="E142" s="18"/>
      <c r="I142" t="s">
        <v>210</v>
      </c>
    </row>
    <row r="143" spans="1:9">
      <c r="A143" s="23" t="s">
        <v>2</v>
      </c>
      <c r="B143" s="36" t="s">
        <v>211</v>
      </c>
      <c r="C143" s="36" t="s">
        <v>211</v>
      </c>
      <c r="F143" s="14" t="s">
        <v>212</v>
      </c>
    </row>
    <row r="144" spans="1:9">
      <c r="A144" s="19" t="s">
        <v>178</v>
      </c>
      <c r="B144" s="36" t="s">
        <v>42</v>
      </c>
      <c r="C144" s="90" t="s">
        <v>48</v>
      </c>
      <c r="D144" s="69"/>
      <c r="F144" s="14"/>
    </row>
    <row r="145" spans="1:6" s="14" customFormat="1">
      <c r="A145" s="19" t="s">
        <v>139</v>
      </c>
      <c r="B145" s="90">
        <v>740</v>
      </c>
      <c r="C145" s="90" t="s">
        <v>49</v>
      </c>
      <c r="D145" s="69"/>
    </row>
    <row r="146" spans="1:6" s="14" customFormat="1">
      <c r="A146" s="64" t="s">
        <v>43</v>
      </c>
      <c r="B146" s="459">
        <v>40254</v>
      </c>
      <c r="C146" s="459" t="s">
        <v>49</v>
      </c>
      <c r="D146" s="1"/>
    </row>
    <row r="147" spans="1:6" s="14" customFormat="1">
      <c r="A147" s="64"/>
      <c r="B147" s="459"/>
      <c r="C147" s="459"/>
      <c r="D147" s="1"/>
    </row>
    <row r="148" spans="1:6">
      <c r="A148" s="588" t="s">
        <v>109</v>
      </c>
      <c r="B148" s="37">
        <v>45</v>
      </c>
      <c r="C148" s="37"/>
      <c r="D148" s="15" t="s">
        <v>44</v>
      </c>
    </row>
    <row r="149" spans="1:6">
      <c r="A149" s="588" t="s">
        <v>110</v>
      </c>
      <c r="B149" s="590">
        <v>3.9859999999999996E-6</v>
      </c>
      <c r="C149" s="590"/>
      <c r="D149" s="15" t="s">
        <v>45</v>
      </c>
      <c r="E149" s="18"/>
      <c r="F149" s="14"/>
    </row>
    <row r="150" spans="1:6">
      <c r="A150" s="588" t="s">
        <v>51</v>
      </c>
      <c r="B150" s="37">
        <v>50</v>
      </c>
      <c r="C150" s="37"/>
      <c r="D150" s="15" t="s">
        <v>46</v>
      </c>
      <c r="F150" s="14"/>
    </row>
    <row r="151" spans="1:6">
      <c r="A151" s="588" t="s">
        <v>50</v>
      </c>
      <c r="B151" s="589">
        <v>1.24E-2</v>
      </c>
      <c r="C151" s="589"/>
      <c r="D151" s="15" t="s">
        <v>45</v>
      </c>
      <c r="F151" s="92"/>
    </row>
    <row r="152" spans="1:6">
      <c r="A152" s="591" t="s">
        <v>47</v>
      </c>
      <c r="B152" s="37">
        <v>47</v>
      </c>
      <c r="C152" s="37"/>
      <c r="D152" s="15" t="s">
        <v>47</v>
      </c>
      <c r="F152" s="92"/>
    </row>
    <row r="153" spans="1:6">
      <c r="A153" s="588" t="s">
        <v>50</v>
      </c>
      <c r="B153" s="589">
        <v>9.0300000000000005E-2</v>
      </c>
      <c r="C153" s="589"/>
      <c r="D153" s="15" t="s">
        <v>45</v>
      </c>
      <c r="F153" s="92"/>
    </row>
    <row r="154" spans="1:6" ht="13.5" thickBot="1">
      <c r="A154" s="588"/>
      <c r="B154" s="590"/>
      <c r="C154" s="589"/>
      <c r="D154" s="15"/>
      <c r="F154" s="92"/>
    </row>
    <row r="155" spans="1:6" ht="18.75" thickBot="1">
      <c r="A155" s="16" t="s">
        <v>214</v>
      </c>
      <c r="B155" s="17"/>
      <c r="C155" s="12" t="s">
        <v>230</v>
      </c>
      <c r="D155" s="583">
        <v>41312</v>
      </c>
      <c r="F155" s="92"/>
    </row>
    <row r="156" spans="1:6">
      <c r="B156" s="36"/>
      <c r="C156" s="22"/>
      <c r="D156" s="91"/>
      <c r="F156" s="14"/>
    </row>
    <row r="157" spans="1:6">
      <c r="A157" s="23" t="s">
        <v>2</v>
      </c>
      <c r="B157" s="75" t="s">
        <v>215</v>
      </c>
      <c r="F157" s="14"/>
    </row>
    <row r="158" spans="1:6">
      <c r="A158" s="19" t="s">
        <v>178</v>
      </c>
      <c r="B158" s="75" t="s">
        <v>216</v>
      </c>
      <c r="F158" s="14"/>
    </row>
    <row r="159" spans="1:6">
      <c r="A159" s="19" t="s">
        <v>139</v>
      </c>
      <c r="B159" s="93" t="s">
        <v>127</v>
      </c>
      <c r="F159" s="14"/>
    </row>
    <row r="160" spans="1:6">
      <c r="A160" s="23" t="s">
        <v>213</v>
      </c>
      <c r="B160" s="91" t="s">
        <v>128</v>
      </c>
      <c r="F160" s="14"/>
    </row>
    <row r="161" spans="1:6">
      <c r="A161" s="67"/>
      <c r="B161" s="90"/>
      <c r="F161" s="14"/>
    </row>
    <row r="162" spans="1:6">
      <c r="A162" s="23" t="s">
        <v>2</v>
      </c>
      <c r="B162" s="94" t="s">
        <v>217</v>
      </c>
      <c r="C162" t="s">
        <v>39</v>
      </c>
      <c r="D162" s="14"/>
      <c r="F162" s="14"/>
    </row>
    <row r="163" spans="1:6">
      <c r="A163" s="19" t="s">
        <v>178</v>
      </c>
      <c r="B163" s="31" t="s">
        <v>218</v>
      </c>
      <c r="F163" s="14"/>
    </row>
    <row r="164" spans="1:6">
      <c r="A164" s="19" t="s">
        <v>139</v>
      </c>
      <c r="B164" s="93">
        <v>243</v>
      </c>
      <c r="F164" s="14"/>
    </row>
    <row r="165" spans="1:6">
      <c r="A165" s="23" t="s">
        <v>213</v>
      </c>
      <c r="B165" s="91">
        <v>41079</v>
      </c>
    </row>
    <row r="166" spans="1:6">
      <c r="A166" s="95" t="s">
        <v>219</v>
      </c>
      <c r="B166" s="38"/>
    </row>
    <row r="167" spans="1:6">
      <c r="A167" s="64" t="s">
        <v>220</v>
      </c>
      <c r="B167" s="96">
        <v>2.8782999999999999E-4</v>
      </c>
    </row>
    <row r="168" spans="1:6">
      <c r="A168" s="19" t="s">
        <v>221</v>
      </c>
      <c r="B168" s="96" t="s">
        <v>129</v>
      </c>
    </row>
    <row r="169" spans="1:6">
      <c r="A169" s="67" t="s">
        <v>222</v>
      </c>
      <c r="B169" s="96" t="s">
        <v>129</v>
      </c>
    </row>
    <row r="170" spans="1:6">
      <c r="A170" s="19" t="s">
        <v>223</v>
      </c>
      <c r="B170" s="96" t="s">
        <v>129</v>
      </c>
    </row>
    <row r="171" spans="1:6">
      <c r="A171" s="64" t="s">
        <v>333</v>
      </c>
      <c r="B171" s="97">
        <v>-845.27</v>
      </c>
    </row>
    <row r="172" spans="1:6">
      <c r="A172" s="64" t="s">
        <v>334</v>
      </c>
      <c r="B172" s="98">
        <v>-1.8037999999999999E-3</v>
      </c>
    </row>
    <row r="173" spans="1:6">
      <c r="A173" s="64" t="s">
        <v>335</v>
      </c>
      <c r="B173" s="99">
        <v>7.6289000000000001E-5</v>
      </c>
    </row>
    <row r="174" spans="1:6">
      <c r="A174" s="64" t="s">
        <v>336</v>
      </c>
      <c r="B174" s="99">
        <v>-1.2025999999999999E-6</v>
      </c>
    </row>
    <row r="175" spans="1:6">
      <c r="A175" s="64" t="s">
        <v>337</v>
      </c>
      <c r="B175" s="100">
        <v>3.5999999999999997E-2</v>
      </c>
    </row>
    <row r="176" spans="1:6">
      <c r="A176" s="64" t="s">
        <v>338</v>
      </c>
      <c r="B176" s="97">
        <v>1.57</v>
      </c>
    </row>
    <row r="177" spans="1:4">
      <c r="B177" s="38"/>
    </row>
    <row r="179" spans="1:4">
      <c r="B179" s="54"/>
      <c r="C179" s="22"/>
      <c r="D179" s="89"/>
    </row>
    <row r="180" spans="1:4">
      <c r="A180" s="23"/>
      <c r="B180" s="75"/>
      <c r="C180" s="1"/>
      <c r="D180" s="22"/>
    </row>
    <row r="181" spans="1:4">
      <c r="A181" s="19"/>
      <c r="B181" s="90"/>
      <c r="C181" s="90"/>
      <c r="D181" s="69"/>
    </row>
    <row r="182" spans="1:4">
      <c r="B182" s="90"/>
      <c r="C182" s="14"/>
      <c r="D182" s="69"/>
    </row>
    <row r="183" spans="1:4">
      <c r="A183" s="64"/>
      <c r="B183" s="91"/>
      <c r="C183" s="14"/>
      <c r="D183" s="69"/>
    </row>
  </sheetData>
  <mergeCells count="2">
    <mergeCell ref="A133:B133"/>
    <mergeCell ref="C133:D133"/>
  </mergeCells>
  <phoneticPr fontId="63" type="noConversion"/>
  <pageMargins left="1" right="0.74791666666666667" top="0.98402777777777772" bottom="0.98402777777777772" header="0.51180555555555551" footer="0.5"/>
  <pageSetup firstPageNumber="0" fitToHeight="0" orientation="portrait" horizontalDpi="300" verticalDpi="300"/>
  <headerFooter alignWithMargins="0">
    <oddFooter>&amp;C&amp;F&amp;RPage &amp;P of &amp;N</oddFooter>
  </headerFooter>
  <rowBreaks count="3" manualBreakCount="3">
    <brk id="49" max="16383" man="1"/>
    <brk id="106" max="16383" man="1"/>
    <brk id="147" max="16383" man="1"/>
  </rowBreaks>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IV357"/>
  <sheetViews>
    <sheetView workbookViewId="0">
      <selection activeCell="C88" sqref="C88"/>
    </sheetView>
  </sheetViews>
  <sheetFormatPr defaultColWidth="8.85546875" defaultRowHeight="12.75"/>
  <cols>
    <col min="1" max="1" width="9.140625" style="22" customWidth="1"/>
    <col min="2" max="2" width="71.7109375" style="18" customWidth="1"/>
    <col min="3" max="3" width="16" style="22" customWidth="1"/>
    <col min="4" max="4" width="9" style="22" customWidth="1"/>
    <col min="5" max="5" width="12.42578125" style="36" customWidth="1"/>
    <col min="6" max="6" width="10.7109375" style="22" customWidth="1"/>
    <col min="7" max="7" width="12.42578125" style="36" customWidth="1"/>
    <col min="8" max="8" width="12" style="22" customWidth="1"/>
    <col min="9" max="9" width="11" style="22" customWidth="1"/>
    <col min="10" max="10" width="13.28515625" style="36" customWidth="1"/>
    <col min="11" max="11" width="11" style="22" customWidth="1"/>
    <col min="12" max="12" width="9.7109375" style="36" customWidth="1"/>
    <col min="13" max="13" width="9.7109375" style="18" customWidth="1"/>
    <col min="14" max="14" width="10.85546875" style="22" customWidth="1"/>
    <col min="15" max="16" width="9.7109375" style="22" customWidth="1"/>
    <col min="17" max="17" width="12" style="22" customWidth="1"/>
    <col min="18" max="18" width="9.28515625" style="22" customWidth="1"/>
    <col min="19" max="19" width="14.140625" style="18" customWidth="1"/>
    <col min="20" max="21" width="8.85546875" style="18"/>
    <col min="22" max="22" width="8.7109375" style="22" customWidth="1"/>
    <col min="23" max="16384" width="8.85546875" style="18"/>
  </cols>
  <sheetData>
    <row r="1" spans="1:256" ht="23.25">
      <c r="A1" s="1"/>
      <c r="B1" s="101" t="s">
        <v>339</v>
      </c>
      <c r="C1" s="1"/>
      <c r="D1" s="6" t="s">
        <v>226</v>
      </c>
      <c r="E1" s="102">
        <f ca="1">NOW()</f>
        <v>41330.565204050923</v>
      </c>
      <c r="H1" s="1"/>
      <c r="I1" s="1"/>
      <c r="K1" s="1"/>
      <c r="L1" s="38"/>
      <c r="M1"/>
      <c r="N1" s="1"/>
      <c r="P1" s="1"/>
      <c r="Q1" s="1"/>
      <c r="R1" s="1"/>
      <c r="S1"/>
      <c r="T1"/>
      <c r="U1"/>
      <c r="V1" s="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06" customFormat="1" ht="23.25">
      <c r="A2" s="103"/>
      <c r="B2" s="104" t="s">
        <v>340</v>
      </c>
      <c r="C2" s="105">
        <v>523</v>
      </c>
      <c r="D2" s="6" t="s">
        <v>228</v>
      </c>
      <c r="E2" s="9">
        <f ca="1">NOW()</f>
        <v>41330.565204050923</v>
      </c>
      <c r="G2" s="107"/>
      <c r="I2" s="103"/>
      <c r="L2" s="108"/>
      <c r="M2" s="6" t="s">
        <v>341</v>
      </c>
      <c r="N2" s="103"/>
      <c r="O2" s="109"/>
      <c r="P2"/>
      <c r="Q2" s="103"/>
      <c r="R2" s="103"/>
      <c r="V2" s="103"/>
    </row>
    <row r="3" spans="1:256" s="111" customFormat="1" ht="15">
      <c r="A3" s="110"/>
      <c r="C3" s="112"/>
      <c r="D3" s="110"/>
      <c r="E3" s="113"/>
      <c r="F3" s="110"/>
      <c r="G3" s="113"/>
      <c r="H3" s="110"/>
      <c r="I3" s="110"/>
      <c r="J3" s="114"/>
      <c r="K3" s="110"/>
      <c r="L3" s="110"/>
      <c r="N3" s="110"/>
      <c r="O3" s="114"/>
      <c r="P3" s="110"/>
      <c r="Q3" s="110"/>
      <c r="R3" s="110"/>
      <c r="V3" s="110"/>
    </row>
    <row r="4" spans="1:256" s="8" customFormat="1" ht="15">
      <c r="A4" s="10"/>
      <c r="B4" s="6" t="s">
        <v>342</v>
      </c>
      <c r="C4" s="112"/>
      <c r="E4" s="112"/>
      <c r="F4" s="115"/>
      <c r="G4" s="112"/>
      <c r="I4" s="10"/>
      <c r="J4" s="116"/>
      <c r="K4" s="117"/>
      <c r="L4" s="118"/>
      <c r="M4" s="116"/>
      <c r="N4" s="117"/>
      <c r="O4" s="117"/>
      <c r="P4" s="117"/>
      <c r="Q4" s="115"/>
      <c r="R4" s="10"/>
    </row>
    <row r="5" spans="1:256" s="8" customFormat="1" ht="15">
      <c r="A5" s="10"/>
      <c r="C5" s="112"/>
      <c r="E5" s="112"/>
      <c r="F5" s="115"/>
      <c r="G5" s="112"/>
      <c r="I5" s="10"/>
      <c r="J5" s="116"/>
      <c r="K5" s="117"/>
      <c r="L5" s="116"/>
      <c r="M5" s="119"/>
      <c r="N5" s="117"/>
      <c r="O5" s="117"/>
      <c r="P5" s="117"/>
      <c r="Q5" s="115"/>
      <c r="R5" s="10"/>
    </row>
    <row r="6" spans="1:256" s="8" customFormat="1" ht="15.75">
      <c r="A6" s="10"/>
      <c r="B6" s="120"/>
      <c r="E6" s="112"/>
      <c r="F6" s="115"/>
      <c r="G6" s="112"/>
      <c r="I6" s="10"/>
      <c r="J6" s="116"/>
      <c r="K6" s="117"/>
      <c r="L6" s="121" t="s">
        <v>343</v>
      </c>
      <c r="M6" s="122">
        <f>C61</f>
        <v>7305</v>
      </c>
      <c r="N6" s="117"/>
      <c r="O6" s="117"/>
      <c r="P6" s="117"/>
      <c r="Q6" s="115"/>
      <c r="R6" s="10"/>
    </row>
    <row r="7" spans="1:256" s="8" customFormat="1" ht="15.75">
      <c r="A7" s="10"/>
      <c r="B7" s="120"/>
      <c r="C7" s="123" t="s">
        <v>233</v>
      </c>
      <c r="E7" s="112"/>
      <c r="F7" s="115"/>
      <c r="G7" s="112"/>
      <c r="I7" s="10"/>
      <c r="J7" s="116"/>
      <c r="K7" s="117"/>
      <c r="L7" s="121" t="s">
        <v>234</v>
      </c>
      <c r="M7" s="122">
        <f>C91</f>
        <v>4977</v>
      </c>
      <c r="N7" s="117"/>
      <c r="O7" s="117"/>
      <c r="P7" s="117"/>
      <c r="Q7" s="115"/>
      <c r="R7" s="10"/>
    </row>
    <row r="8" spans="1:256" s="126" customFormat="1" ht="15">
      <c r="A8" s="124"/>
      <c r="B8" s="125" t="s">
        <v>235</v>
      </c>
      <c r="E8" s="127"/>
      <c r="F8" s="124"/>
      <c r="G8" s="128"/>
      <c r="I8" s="124"/>
      <c r="J8" s="129"/>
      <c r="K8" s="130"/>
      <c r="L8" s="121" t="s">
        <v>236</v>
      </c>
      <c r="M8" s="122">
        <f>Trim!E56+Trim!E57</f>
        <v>39.799999999999997</v>
      </c>
      <c r="N8" s="131"/>
      <c r="O8" s="132"/>
      <c r="P8" s="130"/>
      <c r="Q8" s="124"/>
      <c r="R8" s="124"/>
    </row>
    <row r="9" spans="1:256" s="8" customFormat="1" ht="15">
      <c r="A9" s="10"/>
      <c r="B9" s="6" t="s">
        <v>237</v>
      </c>
      <c r="C9" s="115">
        <f>Total_Weight</f>
        <v>51884.799999999996</v>
      </c>
      <c r="D9" s="133" t="s">
        <v>238</v>
      </c>
      <c r="E9" s="134"/>
      <c r="G9" s="112"/>
      <c r="J9" s="116"/>
      <c r="L9" s="121" t="s">
        <v>239</v>
      </c>
      <c r="M9" s="135">
        <v>39537</v>
      </c>
      <c r="N9" s="136" t="s">
        <v>56</v>
      </c>
      <c r="O9" s="119"/>
      <c r="Q9" s="10"/>
      <c r="R9" s="10"/>
    </row>
    <row r="10" spans="1:256" s="8" customFormat="1" ht="15">
      <c r="A10" s="10"/>
      <c r="B10" s="137" t="s">
        <v>240</v>
      </c>
      <c r="C10" s="138">
        <v>51859</v>
      </c>
      <c r="D10" s="133" t="s">
        <v>238</v>
      </c>
      <c r="E10" s="134"/>
      <c r="G10" s="112"/>
      <c r="H10" s="6"/>
      <c r="I10" s="132"/>
      <c r="K10" s="139"/>
      <c r="L10" s="121" t="s">
        <v>241</v>
      </c>
      <c r="M10" s="122">
        <f>SUM(M5:M9)</f>
        <v>51858.8</v>
      </c>
      <c r="N10" s="117"/>
      <c r="O10" s="116"/>
      <c r="Q10" s="10"/>
      <c r="R10" s="10"/>
    </row>
    <row r="11" spans="1:256" s="8" customFormat="1" ht="15">
      <c r="A11" s="10"/>
      <c r="B11" s="140" t="s">
        <v>242</v>
      </c>
      <c r="C11" s="132">
        <f>C10-Total_Weight_In_Air</f>
        <v>-25.799999999995634</v>
      </c>
      <c r="D11" s="133" t="s">
        <v>238</v>
      </c>
      <c r="H11" s="137"/>
      <c r="I11" s="115"/>
      <c r="J11" s="133"/>
      <c r="L11" s="117" t="s">
        <v>243</v>
      </c>
      <c r="M11" s="141"/>
      <c r="N11" s="117"/>
      <c r="O11" s="116"/>
      <c r="Q11" s="10"/>
      <c r="R11" s="10"/>
    </row>
    <row r="12" spans="1:256" s="8" customFormat="1" ht="15">
      <c r="A12" s="10"/>
      <c r="B12" s="140" t="s">
        <v>244</v>
      </c>
      <c r="C12" s="142">
        <f>SUM(F65:F86,F101:F102)</f>
        <v>1629.6999999999998</v>
      </c>
      <c r="D12" s="133" t="s">
        <v>238</v>
      </c>
      <c r="E12" s="143"/>
      <c r="G12" s="112"/>
      <c r="H12" s="137"/>
      <c r="I12" s="115"/>
      <c r="J12" s="133"/>
      <c r="L12" s="117" t="s">
        <v>245</v>
      </c>
      <c r="M12" s="141">
        <f>M10-M11</f>
        <v>51858.8</v>
      </c>
      <c r="N12" s="117"/>
      <c r="O12" s="116"/>
      <c r="Q12" s="10"/>
      <c r="R12" s="10"/>
    </row>
    <row r="13" spans="1:256" s="8" customFormat="1" ht="15">
      <c r="A13" s="10"/>
      <c r="B13"/>
      <c r="C13"/>
      <c r="D13"/>
      <c r="E13" s="143"/>
      <c r="G13" s="112"/>
      <c r="H13" s="137"/>
      <c r="I13" s="115"/>
      <c r="J13" s="133"/>
      <c r="L13" s="117"/>
      <c r="M13" s="141"/>
      <c r="N13" s="117"/>
      <c r="O13" s="116"/>
      <c r="Q13" s="10"/>
      <c r="R13" s="10"/>
    </row>
    <row r="14" spans="1:256" s="8" customFormat="1" ht="15">
      <c r="A14" s="10"/>
      <c r="F14" s="10"/>
      <c r="H14" s="144"/>
      <c r="I14" s="139"/>
      <c r="K14" s="116"/>
      <c r="L14" s="145"/>
      <c r="M14" s="132"/>
      <c r="N14" s="117"/>
      <c r="O14" s="132"/>
      <c r="P14" s="132"/>
      <c r="Q14" s="10"/>
      <c r="R14" s="10"/>
      <c r="V14" s="10"/>
    </row>
    <row r="15" spans="1:256" s="8" customFormat="1" ht="15.75">
      <c r="A15" s="10"/>
      <c r="B15" s="6" t="s">
        <v>246</v>
      </c>
      <c r="C15" s="115">
        <f>Ballast!B14</f>
        <v>50533.333333333328</v>
      </c>
      <c r="D15" s="8" t="s">
        <v>247</v>
      </c>
      <c r="E15" s="146" t="s">
        <v>245</v>
      </c>
      <c r="F15" s="147" t="s">
        <v>248</v>
      </c>
      <c r="G15" s="143"/>
      <c r="H15" s="148"/>
      <c r="I15" s="149"/>
      <c r="J15" s="150"/>
      <c r="K15" s="116"/>
      <c r="L15" s="145"/>
      <c r="M15" s="132"/>
      <c r="N15" s="117"/>
      <c r="O15" s="132"/>
      <c r="P15" s="132"/>
      <c r="Q15" s="10"/>
      <c r="R15" s="10"/>
      <c r="V15" s="10"/>
    </row>
    <row r="16" spans="1:256" s="8" customFormat="1" ht="15">
      <c r="A16" s="10"/>
      <c r="B16" s="6" t="s">
        <v>249</v>
      </c>
      <c r="C16" s="151">
        <f>K53</f>
        <v>50496.155717761554</v>
      </c>
      <c r="D16" s="133" t="s">
        <v>247</v>
      </c>
      <c r="E16" s="152">
        <f>Displaced_Volume-C15</f>
        <v>-37.177615571774368</v>
      </c>
      <c r="F16" s="133"/>
      <c r="G16" s="143"/>
      <c r="H16" s="148"/>
      <c r="I16" s="149"/>
      <c r="J16" s="150"/>
      <c r="K16" s="116"/>
      <c r="L16" s="145"/>
      <c r="M16" s="132"/>
      <c r="N16" s="117"/>
      <c r="O16" s="132"/>
      <c r="P16" s="132"/>
      <c r="Q16" s="10"/>
      <c r="R16" s="10"/>
      <c r="V16" s="10"/>
    </row>
    <row r="17" spans="1:27" s="8" customFormat="1" ht="15">
      <c r="A17" s="10"/>
      <c r="B17" s="6"/>
      <c r="C17" s="148"/>
      <c r="D17" s="111"/>
      <c r="E17" s="113"/>
      <c r="F17" s="10"/>
      <c r="G17" s="143"/>
      <c r="H17" s="148"/>
      <c r="I17" s="149"/>
      <c r="J17" s="150"/>
      <c r="K17" s="116"/>
      <c r="L17" s="145"/>
      <c r="M17" s="132"/>
      <c r="N17" s="117"/>
      <c r="O17" s="132"/>
      <c r="P17" s="132"/>
      <c r="Q17" s="10"/>
      <c r="R17" s="10"/>
      <c r="V17" s="10"/>
    </row>
    <row r="18" spans="1:27" s="8" customFormat="1" ht="15">
      <c r="A18" s="10"/>
      <c r="B18" s="153" t="s">
        <v>250</v>
      </c>
      <c r="C18" s="154">
        <v>1.0275000000000001</v>
      </c>
      <c r="D18" s="126" t="s">
        <v>251</v>
      </c>
      <c r="E18" s="113"/>
      <c r="F18" s="10"/>
      <c r="G18" s="143"/>
      <c r="J18" s="116"/>
      <c r="K18" s="116"/>
      <c r="L18" s="145"/>
      <c r="M18" s="132"/>
      <c r="N18" s="117"/>
      <c r="O18" s="132"/>
      <c r="P18" s="132"/>
      <c r="Q18" s="10"/>
      <c r="R18" s="10"/>
      <c r="V18" s="10"/>
    </row>
    <row r="19" spans="1:27" s="8" customFormat="1" ht="15.75">
      <c r="A19" s="10"/>
      <c r="B19" s="6" t="s">
        <v>252</v>
      </c>
      <c r="C19" s="115">
        <f>Displaced_Volume*rho_2-Total_Weight_In_Air</f>
        <v>0</v>
      </c>
      <c r="D19" s="8" t="s">
        <v>247</v>
      </c>
      <c r="F19" s="147" t="s">
        <v>253</v>
      </c>
      <c r="G19" s="143"/>
      <c r="H19" s="137"/>
      <c r="I19" s="115"/>
      <c r="J19" s="155"/>
      <c r="K19" s="116"/>
      <c r="L19" s="145"/>
      <c r="M19" s="132"/>
      <c r="N19" s="117"/>
      <c r="O19" s="132"/>
      <c r="P19" s="132"/>
      <c r="Q19" s="10"/>
      <c r="R19" s="10"/>
      <c r="V19" s="10"/>
    </row>
    <row r="20" spans="1:27" s="120" customFormat="1" ht="15.75">
      <c r="B20" s="156" t="s">
        <v>254</v>
      </c>
      <c r="C20" s="157">
        <v>0.7707835579226554</v>
      </c>
      <c r="D20" s="116"/>
      <c r="E20" s="158">
        <f>Cal!C40+C20*(Cal!C41-Cal!C40)</f>
        <v>3153.158123887747</v>
      </c>
      <c r="F20" s="159" t="s">
        <v>255</v>
      </c>
      <c r="G20" s="159" t="s">
        <v>256</v>
      </c>
      <c r="J20" s="160"/>
      <c r="K20" s="161"/>
      <c r="L20" s="162"/>
      <c r="M20" s="116"/>
      <c r="N20" s="161"/>
      <c r="O20" s="162"/>
      <c r="P20" s="116"/>
      <c r="Q20" s="140"/>
      <c r="R20" s="117"/>
      <c r="S20" s="8"/>
      <c r="T20" s="8"/>
      <c r="U20" s="8"/>
      <c r="W20" s="8"/>
      <c r="X20" s="8"/>
      <c r="Y20" s="8"/>
      <c r="Z20" s="8"/>
      <c r="AA20" s="8"/>
    </row>
    <row r="21" spans="1:27" s="120" customFormat="1" ht="15.75">
      <c r="B21" s="163"/>
      <c r="C21" s="164"/>
      <c r="D21" s="116"/>
      <c r="E21" s="116"/>
      <c r="F21" s="117"/>
      <c r="G21"/>
      <c r="H21"/>
      <c r="I21"/>
      <c r="J21" s="160"/>
      <c r="K21" s="161"/>
      <c r="L21" s="162"/>
      <c r="M21" s="116"/>
      <c r="N21" s="161"/>
      <c r="O21" s="162"/>
      <c r="P21" s="116"/>
      <c r="Q21" s="140"/>
      <c r="R21" s="117"/>
      <c r="S21" s="8"/>
      <c r="T21" s="8"/>
      <c r="U21" s="8"/>
      <c r="W21" s="8"/>
      <c r="X21" s="8"/>
      <c r="Y21" s="8"/>
      <c r="Z21" s="8"/>
      <c r="AA21" s="8"/>
    </row>
    <row r="22" spans="1:27" s="120" customFormat="1" ht="15.75">
      <c r="B22" s="163"/>
      <c r="C22" s="164"/>
      <c r="D22" s="116"/>
      <c r="E22" s="116"/>
      <c r="G22" s="19" t="s">
        <v>257</v>
      </c>
      <c r="H22" s="20">
        <v>1.67E-3</v>
      </c>
      <c r="I22" s="165" t="s">
        <v>102</v>
      </c>
      <c r="J22" s="160"/>
      <c r="K22" s="161"/>
      <c r="L22" s="162"/>
      <c r="M22" s="116"/>
      <c r="N22" s="161"/>
      <c r="O22" s="162"/>
      <c r="P22" s="116"/>
      <c r="Q22" s="140"/>
      <c r="R22" s="117"/>
      <c r="S22" s="8"/>
      <c r="T22" s="8"/>
      <c r="U22" s="8"/>
      <c r="W22" s="8"/>
      <c r="X22" s="8"/>
      <c r="Y22" s="8"/>
      <c r="Z22" s="8"/>
      <c r="AA22" s="8"/>
    </row>
    <row r="23" spans="1:27" s="120" customFormat="1" ht="15.75">
      <c r="B23" s="166" t="s">
        <v>103</v>
      </c>
      <c r="C23" s="164"/>
      <c r="D23" s="116"/>
      <c r="E23" s="116"/>
      <c r="F23" s="117"/>
      <c r="G23" s="167"/>
      <c r="H23" s="168"/>
      <c r="L23" s="162"/>
      <c r="M23" s="116"/>
      <c r="N23" s="161"/>
      <c r="O23" s="162"/>
      <c r="P23" s="116"/>
      <c r="Q23" s="140"/>
      <c r="R23" s="117"/>
      <c r="S23" s="8"/>
      <c r="T23" s="8"/>
      <c r="U23" s="8"/>
      <c r="W23" s="8"/>
      <c r="X23" s="8"/>
      <c r="Y23" s="8"/>
      <c r="Z23" s="8"/>
      <c r="AA23" s="8"/>
    </row>
    <row r="24" spans="1:27" s="8" customFormat="1" ht="15">
      <c r="A24" s="10"/>
      <c r="B24" s="6" t="s">
        <v>104</v>
      </c>
      <c r="C24" s="169">
        <f>Total_Moment_LCG/Total_Weight</f>
        <v>89.499707660178331</v>
      </c>
      <c r="D24" s="10" t="s">
        <v>105</v>
      </c>
      <c r="E24" s="170">
        <f>C24/2.54</f>
        <v>35.236105378022962</v>
      </c>
      <c r="F24" s="133" t="s">
        <v>106</v>
      </c>
      <c r="M24" s="116"/>
      <c r="N24" s="116"/>
      <c r="O24" s="116"/>
      <c r="P24" s="116"/>
      <c r="R24" s="10"/>
      <c r="V24" s="10"/>
    </row>
    <row r="25" spans="1:27" s="8" customFormat="1" ht="15">
      <c r="A25" s="10"/>
      <c r="B25" s="6" t="s">
        <v>107</v>
      </c>
      <c r="C25" s="171">
        <f>Total_Moment_LCB/Displaced_Volume</f>
        <v>89.499708150537288</v>
      </c>
      <c r="D25" s="10" t="s">
        <v>105</v>
      </c>
      <c r="E25" s="170">
        <f>C25/2.54</f>
        <v>35.236105571077672</v>
      </c>
      <c r="F25" s="172" t="s">
        <v>106</v>
      </c>
      <c r="G25" s="169"/>
      <c r="J25" s="116"/>
      <c r="O25" s="116"/>
      <c r="R25" s="10"/>
      <c r="V25" s="10"/>
    </row>
    <row r="26" spans="1:27" s="8" customFormat="1" ht="15">
      <c r="A26" s="10"/>
      <c r="B26" s="6" t="s">
        <v>108</v>
      </c>
      <c r="C26" s="169">
        <f>C24-C25</f>
        <v>-4.9035895699489629E-7</v>
      </c>
      <c r="D26" s="10" t="s">
        <v>105</v>
      </c>
      <c r="F26" s="10"/>
      <c r="J26" s="116"/>
      <c r="O26" s="116"/>
      <c r="R26" s="10"/>
      <c r="V26" s="10"/>
    </row>
    <row r="27" spans="1:27" s="8" customFormat="1" ht="15">
      <c r="A27" s="10"/>
      <c r="B27" s="156" t="s">
        <v>268</v>
      </c>
      <c r="C27" s="157">
        <v>0.66888578045861768</v>
      </c>
      <c r="D27" s="163"/>
      <c r="E27" s="158">
        <f>Cal!C11+stroke_2*(Cal!C12-Cal!C11)</f>
        <v>2591.6993923289888</v>
      </c>
      <c r="F27" s="159" t="s">
        <v>255</v>
      </c>
      <c r="G27" s="159" t="s">
        <v>256</v>
      </c>
      <c r="J27" s="173"/>
      <c r="K27" s="174"/>
      <c r="O27" s="116"/>
      <c r="R27" s="10"/>
      <c r="V27" s="10"/>
    </row>
    <row r="28" spans="1:27" s="8" customFormat="1" ht="15">
      <c r="A28" s="10"/>
      <c r="B28" s="156" t="s">
        <v>269</v>
      </c>
      <c r="C28" s="175">
        <f>stroke_2*12.8</f>
        <v>8.5617379898703074</v>
      </c>
      <c r="D28" s="163" t="s">
        <v>105</v>
      </c>
      <c r="J28" s="175"/>
      <c r="O28" s="116"/>
      <c r="R28" s="10"/>
      <c r="V28" s="10"/>
    </row>
    <row r="29" spans="1:27" s="8" customFormat="1" ht="15">
      <c r="A29" s="10"/>
      <c r="B29" s="156" t="s">
        <v>270</v>
      </c>
      <c r="C29" s="176">
        <f>DEGREES(ATAN(C26/C33))</f>
        <v>-4.8866655176113465E-5</v>
      </c>
      <c r="D29" s="163" t="s">
        <v>271</v>
      </c>
      <c r="E29" s="159" t="s">
        <v>272</v>
      </c>
      <c r="F29" s="117"/>
      <c r="G29" s="156"/>
      <c r="H29" s="177"/>
      <c r="I29" s="159"/>
      <c r="J29" s="175"/>
      <c r="O29" s="116"/>
      <c r="R29" s="10"/>
      <c r="V29" s="10"/>
    </row>
    <row r="30" spans="1:27" s="8" customFormat="1" ht="15">
      <c r="A30" s="10"/>
      <c r="F30" s="117"/>
      <c r="G30" s="156"/>
      <c r="H30" s="177"/>
      <c r="I30" s="159"/>
      <c r="J30" s="175"/>
      <c r="O30" s="116"/>
      <c r="R30" s="10"/>
      <c r="V30" s="10"/>
    </row>
    <row r="31" spans="1:27" s="8" customFormat="1" ht="15">
      <c r="A31" s="10"/>
      <c r="B31" s="140" t="s">
        <v>273</v>
      </c>
      <c r="C31" s="178">
        <f>Tot_mom_VCG/Total_Weight_In_Air</f>
        <v>-0.52261484743123243</v>
      </c>
      <c r="D31" s="117" t="s">
        <v>105</v>
      </c>
      <c r="E31" s="116" t="s">
        <v>274</v>
      </c>
      <c r="F31" s="116"/>
      <c r="G31" s="116"/>
      <c r="H31" s="117"/>
      <c r="I31" s="116"/>
      <c r="J31" s="116"/>
      <c r="K31" s="116"/>
      <c r="L31" s="179"/>
      <c r="M31" s="141"/>
      <c r="N31" s="116"/>
      <c r="O31" s="116"/>
      <c r="P31" s="140"/>
      <c r="Q31" s="117"/>
      <c r="R31" s="117"/>
      <c r="S31" s="140"/>
      <c r="T31" s="117"/>
      <c r="V31" s="10"/>
    </row>
    <row r="32" spans="1:27" s="181" customFormat="1" ht="15">
      <c r="A32" s="180"/>
      <c r="B32" s="140" t="s">
        <v>275</v>
      </c>
      <c r="C32" s="178">
        <f>Tot_mom_VCB/Displaced_Volume</f>
        <v>5.2327279894297342E-2</v>
      </c>
      <c r="D32" s="117" t="s">
        <v>105</v>
      </c>
      <c r="E32" s="160" t="s">
        <v>276</v>
      </c>
      <c r="G32" s="116"/>
      <c r="H32" s="182"/>
      <c r="I32" s="160"/>
      <c r="J32" s="160"/>
      <c r="K32" s="116"/>
      <c r="L32" s="140"/>
      <c r="M32" s="183"/>
      <c r="N32" s="160"/>
      <c r="O32" s="116"/>
      <c r="P32" s="140"/>
      <c r="Q32" s="184"/>
      <c r="R32" s="117"/>
      <c r="S32" s="140"/>
      <c r="T32" s="185"/>
      <c r="V32" s="180"/>
    </row>
    <row r="33" spans="1:28" s="181" customFormat="1" ht="15">
      <c r="A33" s="180"/>
      <c r="B33" s="140" t="s">
        <v>277</v>
      </c>
      <c r="C33" s="178">
        <f>C32-C31</f>
        <v>0.57494212732552974</v>
      </c>
      <c r="D33" s="117" t="s">
        <v>105</v>
      </c>
      <c r="E33" s="155" t="s">
        <v>278</v>
      </c>
      <c r="G33" s="116"/>
      <c r="H33" s="117"/>
      <c r="J33" s="116"/>
      <c r="K33" s="116"/>
      <c r="L33" s="140"/>
      <c r="M33" s="141"/>
      <c r="N33" s="160"/>
      <c r="O33" s="116"/>
      <c r="P33" s="140"/>
      <c r="Q33" s="141"/>
      <c r="R33" s="117"/>
      <c r="S33" s="140"/>
      <c r="T33" s="186"/>
      <c r="V33" s="180"/>
    </row>
    <row r="34" spans="1:28" s="181" customFormat="1" ht="15">
      <c r="A34" s="180"/>
      <c r="B34" s="156" t="s">
        <v>279</v>
      </c>
      <c r="C34" s="131">
        <v>0</v>
      </c>
      <c r="D34" s="163" t="s">
        <v>271</v>
      </c>
      <c r="E34" s="160"/>
      <c r="F34" s="117"/>
      <c r="G34" s="116"/>
      <c r="H34" s="160"/>
      <c r="I34" s="160"/>
      <c r="J34" s="160"/>
      <c r="K34" s="187"/>
      <c r="L34" s="160"/>
      <c r="M34" s="117"/>
      <c r="N34" s="116"/>
      <c r="O34" s="116"/>
      <c r="P34" s="162"/>
      <c r="Q34" s="188"/>
      <c r="R34" s="163"/>
      <c r="S34" s="160"/>
      <c r="T34" s="160"/>
      <c r="V34" s="180"/>
    </row>
    <row r="35" spans="1:28" s="181" customFormat="1" ht="15">
      <c r="A35" s="180"/>
      <c r="B35" s="140" t="s">
        <v>280</v>
      </c>
      <c r="C35" s="132" t="e">
        <f>NA()</f>
        <v>#N/A</v>
      </c>
      <c r="D35" s="163" t="s">
        <v>271</v>
      </c>
      <c r="E35" s="160" t="s">
        <v>281</v>
      </c>
      <c r="F35" s="117"/>
      <c r="G35" s="116"/>
      <c r="H35" s="140"/>
      <c r="J35" s="163"/>
      <c r="K35" s="187"/>
      <c r="L35" s="160"/>
      <c r="M35" s="117"/>
      <c r="N35" s="116"/>
      <c r="O35" s="116"/>
      <c r="P35" s="162"/>
      <c r="Q35" s="188"/>
      <c r="R35" s="163"/>
      <c r="S35" s="160"/>
      <c r="T35" s="160"/>
      <c r="V35" s="180"/>
    </row>
    <row r="36" spans="1:28" s="181" customFormat="1" ht="15">
      <c r="A36" s="189"/>
      <c r="B36" s="189"/>
      <c r="C36" s="190"/>
      <c r="D36" s="189"/>
      <c r="E36" s="191"/>
      <c r="F36" s="189"/>
      <c r="G36" s="191"/>
      <c r="H36" s="191"/>
      <c r="I36" s="192"/>
      <c r="J36" s="193"/>
      <c r="K36" s="189"/>
      <c r="L36" s="194"/>
      <c r="M36" s="190"/>
      <c r="N36" s="195"/>
      <c r="O36" s="191"/>
      <c r="P36" s="196"/>
      <c r="Q36" s="197"/>
      <c r="R36" s="189"/>
      <c r="V36" s="180"/>
    </row>
    <row r="37" spans="1:28" s="120" customFormat="1" ht="17.100000000000001" customHeight="1">
      <c r="B37" s="8"/>
      <c r="C37" s="10"/>
      <c r="D37" s="198"/>
      <c r="E37" s="8"/>
      <c r="F37" s="120" t="s">
        <v>282</v>
      </c>
      <c r="H37" s="8"/>
      <c r="I37" s="120" t="s">
        <v>283</v>
      </c>
      <c r="J37" s="199"/>
      <c r="K37" s="8"/>
      <c r="L37" s="8"/>
      <c r="M37" s="8"/>
      <c r="N37" s="120" t="s">
        <v>283</v>
      </c>
      <c r="O37" s="200"/>
      <c r="P37" s="8"/>
      <c r="Q37" s="120" t="s">
        <v>283</v>
      </c>
      <c r="R37" s="120" t="s">
        <v>283</v>
      </c>
      <c r="S37" s="8"/>
      <c r="T37" s="8"/>
      <c r="U37" s="8"/>
      <c r="W37" s="8"/>
      <c r="X37" s="8"/>
      <c r="Y37" s="8"/>
      <c r="Z37" s="8"/>
      <c r="AA37" s="8"/>
    </row>
    <row r="38" spans="1:28" s="120" customFormat="1" ht="17.100000000000001" customHeight="1">
      <c r="A38" s="120" t="s">
        <v>284</v>
      </c>
      <c r="C38" s="120" t="s">
        <v>285</v>
      </c>
      <c r="D38" s="201" t="s">
        <v>286</v>
      </c>
      <c r="E38" s="202" t="s">
        <v>386</v>
      </c>
      <c r="F38" s="203" t="s">
        <v>386</v>
      </c>
      <c r="G38" s="204" t="s">
        <v>387</v>
      </c>
      <c r="H38" s="120" t="s">
        <v>387</v>
      </c>
      <c r="I38" s="120" t="s">
        <v>387</v>
      </c>
      <c r="J38" s="205" t="s">
        <v>388</v>
      </c>
      <c r="K38" s="120" t="s">
        <v>389</v>
      </c>
      <c r="L38" s="204" t="s">
        <v>390</v>
      </c>
      <c r="M38" s="120" t="s">
        <v>390</v>
      </c>
      <c r="N38" s="120" t="s">
        <v>390</v>
      </c>
      <c r="O38" s="206" t="s">
        <v>391</v>
      </c>
      <c r="P38" s="120" t="s">
        <v>391</v>
      </c>
      <c r="Q38" s="120" t="s">
        <v>392</v>
      </c>
      <c r="R38" s="120" t="s">
        <v>393</v>
      </c>
      <c r="S38" s="8"/>
      <c r="T38" s="8"/>
      <c r="U38" s="8"/>
      <c r="W38" s="8"/>
      <c r="X38" s="8"/>
      <c r="Y38" s="8"/>
      <c r="Z38" s="8"/>
      <c r="AA38" s="8"/>
    </row>
    <row r="39" spans="1:28" s="133" customFormat="1" ht="17.100000000000001" customHeight="1">
      <c r="A39" s="207" t="s">
        <v>394</v>
      </c>
      <c r="B39" s="208" t="s">
        <v>395</v>
      </c>
      <c r="C39" s="208" t="s">
        <v>396</v>
      </c>
      <c r="D39" s="209"/>
      <c r="E39" s="210" t="s">
        <v>397</v>
      </c>
      <c r="F39" s="208" t="s">
        <v>397</v>
      </c>
      <c r="G39" s="211" t="s">
        <v>398</v>
      </c>
      <c r="H39" s="208" t="s">
        <v>105</v>
      </c>
      <c r="I39" s="208" t="s">
        <v>399</v>
      </c>
      <c r="J39" s="212" t="s">
        <v>247</v>
      </c>
      <c r="K39" s="208" t="s">
        <v>247</v>
      </c>
      <c r="L39" s="211" t="s">
        <v>398</v>
      </c>
      <c r="M39" s="208" t="s">
        <v>105</v>
      </c>
      <c r="N39" s="208" t="s">
        <v>400</v>
      </c>
      <c r="O39" s="213" t="s">
        <v>398</v>
      </c>
      <c r="P39" s="208" t="s">
        <v>105</v>
      </c>
      <c r="Q39" s="208" t="s">
        <v>399</v>
      </c>
      <c r="R39" s="208" t="s">
        <v>400</v>
      </c>
      <c r="S39" s="8"/>
      <c r="U39" s="8"/>
      <c r="V39" s="115"/>
      <c r="W39" s="8"/>
      <c r="X39" s="8"/>
      <c r="Y39" s="8"/>
      <c r="Z39" s="8"/>
      <c r="AA39" s="8"/>
      <c r="AB39" s="8"/>
    </row>
    <row r="40" spans="1:28" s="133" customFormat="1" ht="17.100000000000001" customHeight="1">
      <c r="A40" s="10"/>
      <c r="B40" s="203"/>
      <c r="C40" s="203"/>
      <c r="D40" s="201"/>
      <c r="E40" s="214"/>
      <c r="F40" s="203"/>
      <c r="G40" s="215"/>
      <c r="H40" s="203"/>
      <c r="I40" s="203"/>
      <c r="J40" s="205"/>
      <c r="K40" s="203"/>
      <c r="L40" s="215"/>
      <c r="M40" s="203"/>
      <c r="N40" s="203"/>
      <c r="O40" s="206"/>
      <c r="P40" s="203"/>
      <c r="Q40" s="203"/>
      <c r="R40" s="203"/>
      <c r="S40" s="8"/>
      <c r="U40" s="8"/>
      <c r="V40" s="115"/>
      <c r="W40" s="8"/>
      <c r="X40" s="8"/>
      <c r="Y40" s="8"/>
      <c r="Z40" s="8"/>
      <c r="AA40" s="8"/>
      <c r="AB40" s="8"/>
    </row>
    <row r="41" spans="1:28" s="147" customFormat="1" ht="17.100000000000001" customHeight="1">
      <c r="A41" s="120"/>
      <c r="B41" s="6" t="s">
        <v>401</v>
      </c>
      <c r="D41" s="201"/>
      <c r="E41" s="216"/>
      <c r="F41" s="217"/>
      <c r="G41" s="204"/>
      <c r="H41" s="120"/>
      <c r="J41" s="205"/>
      <c r="K41" s="120"/>
      <c r="L41" s="204"/>
      <c r="M41" s="120"/>
      <c r="O41" s="206"/>
      <c r="P41" s="120"/>
      <c r="R41" s="120"/>
      <c r="S41" s="218"/>
      <c r="U41" s="218"/>
      <c r="V41" s="219"/>
      <c r="W41" s="218"/>
      <c r="X41" s="218"/>
      <c r="Y41" s="218"/>
      <c r="Z41" s="218"/>
      <c r="AA41" s="218"/>
      <c r="AB41" s="218"/>
    </row>
    <row r="42" spans="1:28" s="147" customFormat="1" ht="17.100000000000001" customHeight="1">
      <c r="A42" s="120"/>
      <c r="B42" s="6" t="s">
        <v>402</v>
      </c>
      <c r="C42" s="217">
        <f>C60+C90</f>
        <v>12277.900000000001</v>
      </c>
      <c r="D42" s="220" t="s">
        <v>238</v>
      </c>
      <c r="E42" s="221" t="s">
        <v>245</v>
      </c>
      <c r="F42" s="222"/>
      <c r="G42" s="204"/>
      <c r="H42" s="120"/>
      <c r="J42" s="205"/>
      <c r="K42" s="120"/>
      <c r="L42" s="204"/>
      <c r="M42" s="120"/>
      <c r="O42" s="206"/>
      <c r="P42" s="120"/>
      <c r="R42" s="120"/>
      <c r="S42" s="218"/>
      <c r="U42" s="218"/>
      <c r="V42" s="219"/>
      <c r="W42" s="218"/>
      <c r="X42" s="218"/>
      <c r="Y42" s="218"/>
      <c r="Z42" s="218"/>
      <c r="AA42" s="218"/>
      <c r="AB42" s="218"/>
    </row>
    <row r="43" spans="1:28" s="147" customFormat="1" ht="17.100000000000001" customHeight="1">
      <c r="A43" s="120"/>
      <c r="B43" s="153" t="s">
        <v>403</v>
      </c>
      <c r="C43" s="217">
        <f>C61+C91</f>
        <v>12282</v>
      </c>
      <c r="D43" s="220" t="s">
        <v>238</v>
      </c>
      <c r="E43" s="223">
        <f>C43-C42</f>
        <v>4.0999999999985448</v>
      </c>
      <c r="F43" s="222"/>
      <c r="G43" s="204"/>
      <c r="H43" s="120"/>
      <c r="J43" s="205"/>
      <c r="K43" s="120"/>
      <c r="L43" s="204"/>
      <c r="M43" s="120"/>
      <c r="O43" s="206"/>
      <c r="P43" s="120"/>
      <c r="R43" s="120"/>
      <c r="S43" s="218"/>
      <c r="U43" s="218"/>
      <c r="V43" s="219"/>
      <c r="W43" s="218"/>
      <c r="X43" s="218"/>
      <c r="Y43" s="218"/>
      <c r="Z43" s="218"/>
      <c r="AA43" s="218"/>
      <c r="AB43" s="218"/>
    </row>
    <row r="44" spans="1:28" s="133" customFormat="1" ht="17.100000000000001" customHeight="1">
      <c r="A44" s="10"/>
      <c r="B44" s="6" t="s">
        <v>404</v>
      </c>
      <c r="C44" s="217">
        <f>SUM(K62:K148)</f>
        <v>7792.7227682625735</v>
      </c>
      <c r="D44" s="199" t="s">
        <v>247</v>
      </c>
      <c r="G44" s="112"/>
      <c r="H44" s="8"/>
      <c r="I44" s="10"/>
      <c r="J44" s="224"/>
      <c r="K44" s="115"/>
      <c r="L44" s="143"/>
      <c r="M44" s="8"/>
      <c r="N44" s="115"/>
      <c r="O44" s="225"/>
      <c r="P44" s="115"/>
      <c r="Q44" s="115"/>
      <c r="R44" s="115"/>
      <c r="S44" s="8"/>
      <c r="T44" s="8"/>
      <c r="U44" s="8"/>
      <c r="V44" s="115"/>
      <c r="W44" s="8"/>
      <c r="X44" s="8"/>
      <c r="Y44" s="8"/>
      <c r="Z44" s="8"/>
      <c r="AA44" s="8"/>
    </row>
    <row r="45" spans="1:28" s="133" customFormat="1" ht="17.100000000000001" customHeight="1">
      <c r="A45" s="10"/>
      <c r="B45" s="147"/>
      <c r="C45" s="217"/>
      <c r="D45" s="199"/>
      <c r="E45" s="226" t="s">
        <v>405</v>
      </c>
      <c r="F45" s="227">
        <f>E43+E48</f>
        <v>-25.69999999999709</v>
      </c>
      <c r="G45" s="112"/>
      <c r="H45" s="8"/>
      <c r="I45" s="10"/>
      <c r="J45" s="224"/>
      <c r="K45" s="115"/>
      <c r="L45" s="143"/>
      <c r="M45" s="8"/>
      <c r="N45" s="115"/>
      <c r="O45" s="225"/>
      <c r="P45" s="115"/>
      <c r="Q45" s="115"/>
      <c r="R45" s="115"/>
      <c r="S45" s="8"/>
      <c r="T45" s="8"/>
      <c r="U45" s="8"/>
      <c r="V45" s="115"/>
      <c r="W45" s="8"/>
      <c r="X45" s="8"/>
      <c r="Y45" s="8"/>
      <c r="Z45" s="8"/>
      <c r="AA45" s="8"/>
    </row>
    <row r="46" spans="1:28" s="133" customFormat="1" ht="17.100000000000001" customHeight="1">
      <c r="A46" s="10"/>
      <c r="B46" s="6" t="s">
        <v>406</v>
      </c>
      <c r="C46" s="147"/>
      <c r="D46" s="201"/>
      <c r="E46" s="216"/>
      <c r="G46" s="112"/>
      <c r="H46" s="8"/>
      <c r="I46" s="10"/>
      <c r="J46" s="224"/>
      <c r="K46" s="115"/>
      <c r="L46" s="143"/>
      <c r="M46" s="8"/>
      <c r="N46" s="115"/>
      <c r="O46" s="225"/>
      <c r="P46" s="115"/>
      <c r="Q46" s="115"/>
      <c r="R46" s="115"/>
      <c r="S46" s="8"/>
      <c r="T46" s="8"/>
      <c r="U46" s="8"/>
      <c r="V46" s="115"/>
      <c r="W46" s="8"/>
      <c r="X46" s="8"/>
      <c r="Y46" s="8"/>
      <c r="Z46" s="8"/>
      <c r="AA46" s="8"/>
    </row>
    <row r="47" spans="1:28" s="133" customFormat="1" ht="17.100000000000001" customHeight="1">
      <c r="A47" s="10"/>
      <c r="B47" s="6" t="s">
        <v>402</v>
      </c>
      <c r="C47" s="217">
        <f>C152</f>
        <v>38615.799999999996</v>
      </c>
      <c r="D47" s="220" t="s">
        <v>238</v>
      </c>
      <c r="E47" s="221" t="s">
        <v>245</v>
      </c>
      <c r="G47" s="112"/>
      <c r="H47" s="8"/>
      <c r="I47" s="10"/>
      <c r="J47" s="224"/>
      <c r="K47" s="115"/>
      <c r="L47" s="143"/>
      <c r="M47" s="8"/>
      <c r="N47" s="115"/>
      <c r="O47" s="225"/>
      <c r="P47" s="115"/>
      <c r="Q47" s="115"/>
      <c r="R47" s="115"/>
      <c r="S47" s="8"/>
      <c r="T47" s="8"/>
      <c r="U47" s="8"/>
      <c r="V47" s="115"/>
      <c r="W47" s="8"/>
      <c r="X47" s="8"/>
      <c r="Y47" s="8"/>
      <c r="Z47" s="8"/>
      <c r="AA47" s="8"/>
    </row>
    <row r="48" spans="1:28" s="133" customFormat="1" ht="17.100000000000001" customHeight="1">
      <c r="A48" s="10"/>
      <c r="B48" s="153" t="s">
        <v>403</v>
      </c>
      <c r="C48" s="217">
        <f>C153</f>
        <v>38586</v>
      </c>
      <c r="D48" s="220" t="s">
        <v>238</v>
      </c>
      <c r="E48" s="223">
        <f>C48-C47</f>
        <v>-29.799999999995634</v>
      </c>
      <c r="G48" s="112"/>
      <c r="H48" s="8"/>
      <c r="I48" s="10"/>
      <c r="J48" s="224"/>
      <c r="K48" s="115"/>
      <c r="L48" s="143"/>
      <c r="M48" s="8"/>
      <c r="N48" s="115"/>
      <c r="O48" s="225"/>
      <c r="P48" s="115"/>
      <c r="Q48" s="115"/>
      <c r="R48" s="115"/>
      <c r="S48" s="8"/>
      <c r="T48" s="8"/>
      <c r="U48" s="8"/>
      <c r="V48" s="115"/>
      <c r="W48" s="8"/>
      <c r="X48" s="8"/>
      <c r="Y48" s="8"/>
      <c r="Z48" s="8"/>
      <c r="AA48" s="8"/>
    </row>
    <row r="49" spans="1:32" s="133" customFormat="1" ht="17.100000000000001" customHeight="1">
      <c r="A49" s="10"/>
      <c r="B49" s="6" t="s">
        <v>404</v>
      </c>
      <c r="C49" s="219">
        <f>SUM(K153:K353)+SUM(K56:K57)</f>
        <v>42703.43294949898</v>
      </c>
      <c r="D49" s="199" t="s">
        <v>247</v>
      </c>
      <c r="G49" s="112"/>
      <c r="H49" s="8"/>
      <c r="I49" s="10"/>
      <c r="J49" s="224"/>
      <c r="K49" s="115"/>
      <c r="L49" s="143"/>
      <c r="M49" s="8"/>
      <c r="N49" s="115"/>
      <c r="O49" s="225"/>
      <c r="P49" s="115"/>
      <c r="Q49" s="115"/>
      <c r="R49" s="115"/>
      <c r="S49" s="8"/>
      <c r="T49" s="8"/>
      <c r="U49" s="8"/>
      <c r="V49" s="115"/>
      <c r="W49" s="8"/>
      <c r="X49" s="8"/>
      <c r="Y49" s="8"/>
      <c r="Z49" s="8"/>
      <c r="AA49" s="8"/>
    </row>
    <row r="50" spans="1:32" s="133" customFormat="1" ht="17.100000000000001" customHeight="1">
      <c r="A50" s="10"/>
      <c r="B50" s="6"/>
      <c r="D50" s="199"/>
      <c r="E50" s="226"/>
      <c r="F50" s="227"/>
      <c r="G50" s="112"/>
      <c r="H50" s="8"/>
      <c r="I50" s="10"/>
      <c r="J50" s="224"/>
      <c r="K50" s="115"/>
      <c r="L50" s="143"/>
      <c r="M50" s="8"/>
      <c r="N50" s="115"/>
      <c r="O50" s="225"/>
      <c r="P50" s="115"/>
      <c r="Q50" s="115"/>
      <c r="R50" s="115"/>
      <c r="S50" s="8"/>
      <c r="T50" s="8"/>
      <c r="U50" s="8"/>
      <c r="V50" s="115"/>
      <c r="W50" s="8"/>
      <c r="X50" s="8"/>
      <c r="Y50" s="8"/>
      <c r="Z50" s="8"/>
      <c r="AA50" s="8"/>
    </row>
    <row r="51" spans="1:32" s="133" customFormat="1" ht="17.100000000000001" customHeight="1">
      <c r="A51" s="10"/>
      <c r="C51" s="6" t="s">
        <v>293</v>
      </c>
      <c r="D51" s="199"/>
      <c r="F51" s="228">
        <f>SUM(F55:F353)</f>
        <v>51874.899999999994</v>
      </c>
      <c r="G51" s="228"/>
      <c r="H51" s="228"/>
      <c r="I51" s="228">
        <f>SUM(I55:I353)</f>
        <v>4651618.8662907612</v>
      </c>
      <c r="J51" s="228"/>
      <c r="K51" s="228">
        <f>SUM(K55:K353)</f>
        <v>50496.155717761554</v>
      </c>
      <c r="L51" s="228"/>
      <c r="M51" s="228"/>
      <c r="N51" s="228">
        <f>SUM(N55:N353)</f>
        <v>4519391.1994637437</v>
      </c>
      <c r="O51" s="228"/>
      <c r="P51" s="228"/>
      <c r="Q51" s="228">
        <f>SUM(Q55:Q353)</f>
        <v>-27115.766836000006</v>
      </c>
      <c r="R51" s="228">
        <f>SUM(R55:R353)</f>
        <v>2642.3264738293319</v>
      </c>
      <c r="S51" s="8"/>
      <c r="T51" s="8"/>
      <c r="U51" s="8"/>
      <c r="V51" s="115"/>
      <c r="W51" s="8"/>
      <c r="X51" s="8"/>
      <c r="Y51" s="8"/>
      <c r="Z51" s="8"/>
      <c r="AA51" s="8"/>
    </row>
    <row r="52" spans="1:32" s="133" customFormat="1" ht="17.100000000000001" customHeight="1">
      <c r="A52" s="10"/>
      <c r="C52" s="229" t="s">
        <v>294</v>
      </c>
      <c r="D52" s="224"/>
      <c r="E52" s="230"/>
      <c r="F52" s="230">
        <v>9.9</v>
      </c>
      <c r="G52" s="230">
        <v>-315.9323265704723</v>
      </c>
      <c r="H52" s="231">
        <f>G52*2.54</f>
        <v>-802.46810948899963</v>
      </c>
      <c r="I52" s="151">
        <f>F52*H52</f>
        <v>-7944.4342839410965</v>
      </c>
      <c r="J52" s="232">
        <v>0</v>
      </c>
      <c r="K52" s="151">
        <f>J52*D52</f>
        <v>0</v>
      </c>
      <c r="L52" s="230">
        <v>0</v>
      </c>
      <c r="M52" s="231">
        <f>L52*2.54</f>
        <v>0</v>
      </c>
      <c r="N52" s="151">
        <f>K52*M52</f>
        <v>0</v>
      </c>
      <c r="O52" s="233">
        <v>0</v>
      </c>
      <c r="P52" s="231">
        <f>O52*2.54</f>
        <v>0</v>
      </c>
      <c r="Q52" s="151">
        <f>F52*P52</f>
        <v>0</v>
      </c>
      <c r="R52" s="231">
        <f>K52*P52</f>
        <v>0</v>
      </c>
      <c r="S52" s="8"/>
      <c r="U52" s="8"/>
      <c r="V52" s="115"/>
      <c r="W52" s="8"/>
      <c r="X52" s="8"/>
      <c r="Y52" s="8"/>
      <c r="Z52" s="8"/>
      <c r="AA52" s="8"/>
      <c r="AB52" s="8"/>
    </row>
    <row r="53" spans="1:32" s="133" customFormat="1" ht="17.100000000000001" customHeight="1">
      <c r="A53" s="10"/>
      <c r="C53" s="234" t="s">
        <v>295</v>
      </c>
      <c r="D53" s="199"/>
      <c r="F53" s="235">
        <f>SUM(F50:F52)</f>
        <v>51884.799999999996</v>
      </c>
      <c r="G53" s="235"/>
      <c r="H53" s="235"/>
      <c r="I53" s="235">
        <f>SUM(I51:I52)</f>
        <v>4643674.4320068201</v>
      </c>
      <c r="J53" s="236"/>
      <c r="K53" s="235">
        <f>SUM(K51:K52)</f>
        <v>50496.155717761554</v>
      </c>
      <c r="L53" s="235"/>
      <c r="M53" s="235"/>
      <c r="N53" s="235">
        <f>SUM(N51:N52)</f>
        <v>4519391.1994637437</v>
      </c>
      <c r="O53" s="236"/>
      <c r="P53" s="235"/>
      <c r="Q53" s="235">
        <f>SUM(Q51:Q52)</f>
        <v>-27115.766836000006</v>
      </c>
      <c r="R53" s="235">
        <f>SUM(R51:R52)</f>
        <v>2642.3264738293319</v>
      </c>
      <c r="S53" s="8"/>
      <c r="T53" s="8"/>
      <c r="U53" s="8"/>
      <c r="V53" s="115"/>
      <c r="W53" s="8"/>
      <c r="X53" s="8"/>
      <c r="Y53" s="8"/>
      <c r="Z53" s="8"/>
      <c r="AA53" s="8"/>
    </row>
    <row r="54" spans="1:32" s="133" customFormat="1" ht="17.100000000000001" customHeight="1">
      <c r="A54" s="195"/>
      <c r="B54" s="237"/>
      <c r="C54" s="238"/>
      <c r="D54" s="239"/>
      <c r="E54" s="240"/>
      <c r="F54" s="241"/>
      <c r="G54" s="242"/>
      <c r="H54" s="191"/>
      <c r="I54" s="195"/>
      <c r="J54" s="243"/>
      <c r="K54" s="244"/>
      <c r="L54" s="245"/>
      <c r="M54" s="191"/>
      <c r="N54" s="244"/>
      <c r="O54" s="246"/>
      <c r="P54" s="244"/>
      <c r="Q54" s="244"/>
      <c r="R54" s="244"/>
      <c r="S54" s="8"/>
      <c r="T54" s="8"/>
      <c r="U54" s="8"/>
      <c r="V54" s="115"/>
      <c r="W54" s="8"/>
      <c r="X54" s="8"/>
      <c r="Y54" s="8"/>
      <c r="Z54" s="8"/>
      <c r="AA54" s="8"/>
    </row>
    <row r="55" spans="1:32" s="133" customFormat="1" ht="24.75" customHeight="1">
      <c r="A55" s="120">
        <v>0</v>
      </c>
      <c r="B55" s="247" t="s">
        <v>296</v>
      </c>
      <c r="C55" s="248">
        <v>49801</v>
      </c>
      <c r="D55" s="199"/>
      <c r="E55" s="249"/>
      <c r="F55" s="250"/>
      <c r="G55" s="118"/>
      <c r="H55" s="116"/>
      <c r="I55" s="117"/>
      <c r="J55" s="224"/>
      <c r="K55" s="141"/>
      <c r="L55" s="145"/>
      <c r="M55" s="116"/>
      <c r="N55" s="141"/>
      <c r="O55" s="225"/>
      <c r="P55" s="141"/>
      <c r="Q55" s="141"/>
      <c r="R55" s="141"/>
      <c r="S55" s="8"/>
      <c r="T55" s="8"/>
      <c r="U55" s="8"/>
      <c r="V55" s="115"/>
      <c r="W55" s="8"/>
      <c r="X55" s="8"/>
      <c r="Y55" s="8"/>
      <c r="Z55" s="8"/>
      <c r="AA55" s="8"/>
    </row>
    <row r="56" spans="1:32" s="257" customFormat="1" ht="17.100000000000001" customHeight="1">
      <c r="A56" s="124">
        <v>1</v>
      </c>
      <c r="B56" s="126" t="s">
        <v>297</v>
      </c>
      <c r="C56" s="251">
        <v>55240</v>
      </c>
      <c r="D56" s="224">
        <v>1</v>
      </c>
      <c r="E56" s="230">
        <v>12.2</v>
      </c>
      <c r="F56" s="231">
        <f>E56*D56</f>
        <v>12.2</v>
      </c>
      <c r="G56" s="252">
        <v>46</v>
      </c>
      <c r="H56" s="231">
        <f>G56*2.54</f>
        <v>116.84</v>
      </c>
      <c r="I56" s="151">
        <f>F56*H56</f>
        <v>1425.4479999999999</v>
      </c>
      <c r="J56" s="253">
        <f>E56/SS_Density</f>
        <v>1.5198704372741996</v>
      </c>
      <c r="K56" s="151">
        <f>J56*D56</f>
        <v>1.5198704372741996</v>
      </c>
      <c r="L56" s="254">
        <f>G56</f>
        <v>46</v>
      </c>
      <c r="M56" s="231">
        <f>L56*2.54</f>
        <v>116.84</v>
      </c>
      <c r="N56" s="151">
        <f>K56*M56</f>
        <v>177.58166189111748</v>
      </c>
      <c r="O56" s="233">
        <v>0</v>
      </c>
      <c r="P56" s="231">
        <f>O56*2.54</f>
        <v>0</v>
      </c>
      <c r="Q56" s="151">
        <f>F56*P56</f>
        <v>0</v>
      </c>
      <c r="R56" s="231">
        <f>K56*P56</f>
        <v>0</v>
      </c>
      <c r="S56" s="255"/>
      <c r="T56" s="255"/>
      <c r="U56" s="255"/>
      <c r="V56" s="256"/>
      <c r="W56" s="255"/>
      <c r="X56" s="255"/>
      <c r="Y56" s="255"/>
      <c r="Z56" s="255"/>
      <c r="AA56" s="255"/>
    </row>
    <row r="57" spans="1:32" s="257" customFormat="1" ht="17.100000000000001" customHeight="1">
      <c r="A57" s="124">
        <v>1</v>
      </c>
      <c r="B57" s="126" t="s">
        <v>298</v>
      </c>
      <c r="C57" s="251">
        <v>55294</v>
      </c>
      <c r="D57" s="224">
        <v>1</v>
      </c>
      <c r="E57" s="230">
        <v>27.6</v>
      </c>
      <c r="F57" s="231">
        <f>E57*D57</f>
        <v>27.6</v>
      </c>
      <c r="G57" s="252">
        <v>49.5</v>
      </c>
      <c r="H57" s="231">
        <f>G57*2.54</f>
        <v>125.73</v>
      </c>
      <c r="I57" s="151">
        <f>F57*H57</f>
        <v>3470.1480000000001</v>
      </c>
      <c r="J57" s="253">
        <f>E57/SS_Density</f>
        <v>3.43839541547278</v>
      </c>
      <c r="K57" s="151">
        <f>J57*D57</f>
        <v>3.43839541547278</v>
      </c>
      <c r="L57" s="254">
        <f>G57</f>
        <v>49.5</v>
      </c>
      <c r="M57" s="231">
        <f>L57*2.54</f>
        <v>125.73</v>
      </c>
      <c r="N57" s="151">
        <f>K57*M57</f>
        <v>432.30945558739268</v>
      </c>
      <c r="O57" s="233">
        <v>0</v>
      </c>
      <c r="P57" s="231">
        <f>O57*2.54</f>
        <v>0</v>
      </c>
      <c r="Q57" s="151">
        <f>F57*P57</f>
        <v>0</v>
      </c>
      <c r="R57" s="231">
        <f>K57*P57</f>
        <v>0</v>
      </c>
      <c r="S57" s="255"/>
      <c r="T57" s="255"/>
      <c r="U57" s="255"/>
      <c r="V57" s="256"/>
      <c r="W57" s="255"/>
      <c r="X57" s="255"/>
      <c r="Y57" s="255"/>
      <c r="Z57" s="255"/>
      <c r="AA57" s="255"/>
    </row>
    <row r="58" spans="1:32" s="147" customFormat="1" ht="17.100000000000001" customHeight="1">
      <c r="A58" s="208"/>
      <c r="B58" s="237"/>
      <c r="C58" s="258"/>
      <c r="D58" s="259"/>
      <c r="E58" s="260"/>
      <c r="F58" s="261"/>
      <c r="G58" s="262"/>
      <c r="H58" s="263"/>
      <c r="I58" s="208"/>
      <c r="J58" s="212"/>
      <c r="K58" s="264"/>
      <c r="L58" s="211"/>
      <c r="M58" s="263"/>
      <c r="N58" s="264"/>
      <c r="O58" s="265"/>
      <c r="P58" s="264"/>
      <c r="Q58" s="264"/>
      <c r="R58" s="264"/>
      <c r="S58" s="218"/>
      <c r="T58" s="218"/>
      <c r="U58" s="218"/>
      <c r="V58" s="219"/>
      <c r="W58" s="218"/>
      <c r="X58" s="218"/>
      <c r="Y58" s="218"/>
      <c r="Z58" s="218"/>
      <c r="AA58" s="218"/>
    </row>
    <row r="59" spans="1:32" s="147" customFormat="1" ht="17.100000000000001" customHeight="1">
      <c r="A59" s="120">
        <v>1</v>
      </c>
      <c r="B59" s="147" t="s">
        <v>299</v>
      </c>
      <c r="C59" s="266">
        <v>55494</v>
      </c>
      <c r="D59" s="267"/>
      <c r="E59" s="268"/>
      <c r="F59" s="269"/>
      <c r="G59" s="270"/>
      <c r="H59" s="218"/>
      <c r="I59" s="120"/>
      <c r="J59" s="205"/>
      <c r="K59" s="219"/>
      <c r="L59" s="204"/>
      <c r="M59" s="218"/>
      <c r="N59" s="219"/>
      <c r="O59" s="271"/>
      <c r="P59" s="219"/>
      <c r="Q59" s="219"/>
      <c r="R59" s="219"/>
      <c r="S59" s="218"/>
      <c r="T59" s="218"/>
      <c r="U59" s="218"/>
      <c r="V59" s="219"/>
      <c r="W59" s="218"/>
      <c r="X59" s="218"/>
      <c r="Y59" s="218"/>
      <c r="Z59" s="218"/>
      <c r="AA59" s="218"/>
    </row>
    <row r="60" spans="1:32" s="147" customFormat="1" ht="17.100000000000001" customHeight="1">
      <c r="A60" s="120"/>
      <c r="B60" s="6" t="s">
        <v>300</v>
      </c>
      <c r="C60" s="254">
        <f>SUM(F62:F68)</f>
        <v>7304.6</v>
      </c>
      <c r="D60" s="199" t="s">
        <v>238</v>
      </c>
      <c r="E60" s="221" t="s">
        <v>245</v>
      </c>
      <c r="F60" s="269"/>
      <c r="G60" s="270"/>
      <c r="H60" s="218"/>
      <c r="J60" s="205"/>
      <c r="L60" s="204"/>
      <c r="M60" s="218"/>
      <c r="N60" s="219"/>
      <c r="O60" s="271"/>
      <c r="P60" s="219"/>
      <c r="Q60" s="219"/>
      <c r="R60" s="219"/>
      <c r="S60" s="218"/>
      <c r="T60" s="218"/>
      <c r="U60" s="218"/>
      <c r="V60" s="219"/>
      <c r="W60" s="218"/>
      <c r="X60" s="218"/>
      <c r="Y60" s="218"/>
      <c r="Z60" s="218"/>
      <c r="AA60" s="218"/>
    </row>
    <row r="61" spans="1:32" s="274" customFormat="1" ht="17.100000000000001" customHeight="1">
      <c r="A61" s="272"/>
      <c r="B61" s="153" t="s">
        <v>403</v>
      </c>
      <c r="C61" s="230">
        <v>7305</v>
      </c>
      <c r="D61" s="273" t="s">
        <v>238</v>
      </c>
      <c r="E61" s="223">
        <f>C61-C60</f>
        <v>0.3999999999996362</v>
      </c>
      <c r="I61" s="275"/>
      <c r="O61" s="276"/>
      <c r="S61" s="277"/>
      <c r="T61" s="278"/>
      <c r="U61" s="279"/>
      <c r="V61" s="227"/>
      <c r="W61" s="280"/>
      <c r="X61" s="281"/>
      <c r="Y61" s="282"/>
      <c r="Z61" s="283"/>
      <c r="AA61" s="227"/>
      <c r="AB61" s="280"/>
      <c r="AC61" s="284"/>
      <c r="AD61" s="231"/>
      <c r="AE61" s="151"/>
      <c r="AF61" s="231"/>
    </row>
    <row r="62" spans="1:32" s="287" customFormat="1" ht="17.100000000000001" customHeight="1">
      <c r="A62" s="285">
        <v>2</v>
      </c>
      <c r="B62" s="126" t="s">
        <v>301</v>
      </c>
      <c r="C62" s="124">
        <v>49897</v>
      </c>
      <c r="D62" s="224">
        <v>1</v>
      </c>
      <c r="E62" s="230">
        <v>5106</v>
      </c>
      <c r="F62" s="231">
        <f t="shared" ref="F62:F68" si="0">E62*D62</f>
        <v>5106</v>
      </c>
      <c r="G62" s="286">
        <v>28.22</v>
      </c>
      <c r="H62" s="231">
        <f t="shared" ref="H62:H68" si="1">G62*2.54</f>
        <v>71.678799999999995</v>
      </c>
      <c r="I62" s="151">
        <f t="shared" ref="I62:I68" si="2">F62*H62</f>
        <v>365991.95279999997</v>
      </c>
      <c r="J62" s="253">
        <f>E62/Fiberglass_Density</f>
        <v>3402.8825265431838</v>
      </c>
      <c r="K62" s="151">
        <f t="shared" ref="K62:K68" si="3">J62*D62</f>
        <v>3402.8825265431838</v>
      </c>
      <c r="L62" s="254">
        <f t="shared" ref="L62:L68" si="4">G62</f>
        <v>28.22</v>
      </c>
      <c r="M62" s="231">
        <f t="shared" ref="M62:M68" si="5">L62*2.54</f>
        <v>71.678799999999995</v>
      </c>
      <c r="N62" s="151">
        <f t="shared" ref="N62:N68" si="6">K62*M62</f>
        <v>243914.53604358353</v>
      </c>
      <c r="O62" s="233">
        <v>0</v>
      </c>
      <c r="P62" s="231">
        <f t="shared" ref="P62:P68" si="7">O62*2.54</f>
        <v>0</v>
      </c>
      <c r="Q62" s="151">
        <f>E62*P62</f>
        <v>0</v>
      </c>
      <c r="R62" s="231">
        <f t="shared" ref="R62:R68" si="8">K62*P62</f>
        <v>0</v>
      </c>
      <c r="S62" s="126"/>
      <c r="V62" s="288"/>
    </row>
    <row r="63" spans="1:32" s="287" customFormat="1" ht="33" customHeight="1">
      <c r="A63" s="285">
        <v>2</v>
      </c>
      <c r="B63" s="289" t="s">
        <v>302</v>
      </c>
      <c r="C63" s="124">
        <v>49834</v>
      </c>
      <c r="D63" s="224">
        <v>1</v>
      </c>
      <c r="E63" s="230">
        <v>688</v>
      </c>
      <c r="F63" s="231">
        <f t="shared" si="0"/>
        <v>688</v>
      </c>
      <c r="G63" s="252">
        <v>45.85</v>
      </c>
      <c r="H63" s="231">
        <f t="shared" si="1"/>
        <v>116.459</v>
      </c>
      <c r="I63" s="151">
        <f t="shared" si="2"/>
        <v>80123.792000000001</v>
      </c>
      <c r="J63" s="253">
        <f>E63/Alum_density</f>
        <v>253.59380759307038</v>
      </c>
      <c r="K63" s="151">
        <f t="shared" si="3"/>
        <v>253.59380759307038</v>
      </c>
      <c r="L63" s="254">
        <f t="shared" si="4"/>
        <v>45.85</v>
      </c>
      <c r="M63" s="231">
        <f t="shared" si="5"/>
        <v>116.459</v>
      </c>
      <c r="N63" s="151">
        <f t="shared" si="6"/>
        <v>29533.281238481384</v>
      </c>
      <c r="O63" s="233">
        <v>0</v>
      </c>
      <c r="P63" s="231">
        <f t="shared" si="7"/>
        <v>0</v>
      </c>
      <c r="Q63" s="151">
        <f t="shared" ref="Q63:Q68" si="9">F63*P63</f>
        <v>0</v>
      </c>
      <c r="R63" s="231">
        <f t="shared" si="8"/>
        <v>0</v>
      </c>
      <c r="V63" s="288"/>
    </row>
    <row r="64" spans="1:32" s="290" customFormat="1" ht="17.100000000000001" customHeight="1">
      <c r="A64" s="124">
        <v>2</v>
      </c>
      <c r="B64" s="290" t="s">
        <v>303</v>
      </c>
      <c r="C64" s="285">
        <v>49844</v>
      </c>
      <c r="D64" s="224">
        <v>1</v>
      </c>
      <c r="E64" s="230">
        <v>1247.3</v>
      </c>
      <c r="F64" s="231">
        <f t="shared" si="0"/>
        <v>1247.3</v>
      </c>
      <c r="G64" s="252">
        <v>3.7149999999999999</v>
      </c>
      <c r="H64" s="231">
        <f t="shared" si="1"/>
        <v>9.4360999999999997</v>
      </c>
      <c r="I64" s="151">
        <f t="shared" si="2"/>
        <v>11769.647529999998</v>
      </c>
      <c r="J64" s="253">
        <f>E64/Brass_Density</f>
        <v>148.22341057635177</v>
      </c>
      <c r="K64" s="151">
        <f t="shared" si="3"/>
        <v>148.22341057635177</v>
      </c>
      <c r="L64" s="254">
        <f t="shared" si="4"/>
        <v>3.7149999999999999</v>
      </c>
      <c r="M64" s="254">
        <f t="shared" si="5"/>
        <v>9.4360999999999997</v>
      </c>
      <c r="N64" s="151">
        <f t="shared" si="6"/>
        <v>1398.650924539513</v>
      </c>
      <c r="O64" s="233">
        <v>0</v>
      </c>
      <c r="P64" s="231">
        <f t="shared" si="7"/>
        <v>0</v>
      </c>
      <c r="Q64" s="151">
        <f t="shared" si="9"/>
        <v>0</v>
      </c>
      <c r="R64" s="231">
        <f t="shared" si="8"/>
        <v>0</v>
      </c>
      <c r="S64" s="126"/>
      <c r="T64" s="126"/>
      <c r="U64" s="126"/>
      <c r="V64" s="151"/>
      <c r="W64" s="126"/>
      <c r="X64" s="126"/>
      <c r="Y64" s="126"/>
      <c r="Z64" s="126"/>
      <c r="AA64" s="126"/>
    </row>
    <row r="65" spans="1:27" s="290" customFormat="1" ht="16.5" customHeight="1">
      <c r="A65" s="124">
        <v>2</v>
      </c>
      <c r="B65" s="291" t="s">
        <v>304</v>
      </c>
      <c r="C65" s="285">
        <v>55448</v>
      </c>
      <c r="D65" s="224">
        <v>1</v>
      </c>
      <c r="E65" s="230">
        <v>247.6</v>
      </c>
      <c r="F65" s="231">
        <f t="shared" si="0"/>
        <v>247.6</v>
      </c>
      <c r="G65" s="252">
        <v>3.7149999999999999</v>
      </c>
      <c r="H65" s="231">
        <f t="shared" si="1"/>
        <v>9.4360999999999997</v>
      </c>
      <c r="I65" s="151">
        <f t="shared" si="2"/>
        <v>2336.3783599999997</v>
      </c>
      <c r="J65" s="253">
        <f>E65/Brass_Density</f>
        <v>29.42364824717766</v>
      </c>
      <c r="K65" s="151">
        <f t="shared" si="3"/>
        <v>29.42364824717766</v>
      </c>
      <c r="L65" s="254">
        <f t="shared" si="4"/>
        <v>3.7149999999999999</v>
      </c>
      <c r="M65" s="254">
        <f t="shared" si="5"/>
        <v>9.4360999999999997</v>
      </c>
      <c r="N65" s="151">
        <f t="shared" si="6"/>
        <v>277.64448722519313</v>
      </c>
      <c r="O65" s="233">
        <v>0</v>
      </c>
      <c r="P65" s="231">
        <f t="shared" si="7"/>
        <v>0</v>
      </c>
      <c r="Q65" s="151">
        <f t="shared" si="9"/>
        <v>0</v>
      </c>
      <c r="R65" s="231">
        <f t="shared" si="8"/>
        <v>0</v>
      </c>
      <c r="S65" s="126"/>
      <c r="T65" s="126"/>
      <c r="U65" s="126"/>
      <c r="V65" s="151"/>
      <c r="W65" s="126"/>
      <c r="X65" s="126"/>
      <c r="Y65" s="126"/>
      <c r="Z65" s="126"/>
      <c r="AA65" s="126"/>
    </row>
    <row r="66" spans="1:27" s="287" customFormat="1" ht="34.5" customHeight="1">
      <c r="A66" s="285">
        <v>2</v>
      </c>
      <c r="B66" s="292" t="s">
        <v>305</v>
      </c>
      <c r="C66" s="293" t="s">
        <v>306</v>
      </c>
      <c r="D66" s="224">
        <v>0</v>
      </c>
      <c r="E66" s="230">
        <v>28.3</v>
      </c>
      <c r="F66" s="231">
        <f t="shared" si="0"/>
        <v>0</v>
      </c>
      <c r="G66" s="252">
        <v>3.7149999999999999</v>
      </c>
      <c r="H66" s="231">
        <f t="shared" si="1"/>
        <v>9.4360999999999997</v>
      </c>
      <c r="I66" s="151">
        <f t="shared" si="2"/>
        <v>0</v>
      </c>
      <c r="J66" s="253">
        <f>F66/Brass_Density</f>
        <v>0</v>
      </c>
      <c r="K66" s="151">
        <f t="shared" si="3"/>
        <v>0</v>
      </c>
      <c r="L66" s="254">
        <f t="shared" si="4"/>
        <v>3.7149999999999999</v>
      </c>
      <c r="M66" s="231">
        <f t="shared" si="5"/>
        <v>9.4360999999999997</v>
      </c>
      <c r="N66" s="151">
        <f t="shared" si="6"/>
        <v>0</v>
      </c>
      <c r="O66" s="233">
        <v>0</v>
      </c>
      <c r="P66" s="231">
        <f t="shared" si="7"/>
        <v>0</v>
      </c>
      <c r="Q66" s="151">
        <f t="shared" si="9"/>
        <v>0</v>
      </c>
      <c r="R66" s="231">
        <f t="shared" si="8"/>
        <v>0</v>
      </c>
      <c r="V66" s="288"/>
    </row>
    <row r="67" spans="1:27" s="287" customFormat="1" ht="34.5" customHeight="1">
      <c r="A67" s="285">
        <v>2</v>
      </c>
      <c r="B67" s="292" t="s">
        <v>307</v>
      </c>
      <c r="C67" s="293" t="s">
        <v>308</v>
      </c>
      <c r="D67" s="224">
        <v>0</v>
      </c>
      <c r="E67" s="230">
        <v>23.4</v>
      </c>
      <c r="F67" s="231">
        <f t="shared" si="0"/>
        <v>0</v>
      </c>
      <c r="G67" s="252">
        <v>3.7149999999999999</v>
      </c>
      <c r="H67" s="231">
        <f t="shared" si="1"/>
        <v>9.4360999999999997</v>
      </c>
      <c r="I67" s="151">
        <f t="shared" si="2"/>
        <v>0</v>
      </c>
      <c r="J67" s="253">
        <f>F67/Brass_Density</f>
        <v>0</v>
      </c>
      <c r="K67" s="151">
        <f t="shared" si="3"/>
        <v>0</v>
      </c>
      <c r="L67" s="254">
        <f t="shared" si="4"/>
        <v>3.7149999999999999</v>
      </c>
      <c r="M67" s="231">
        <f t="shared" si="5"/>
        <v>9.4360999999999997</v>
      </c>
      <c r="N67" s="151">
        <f t="shared" si="6"/>
        <v>0</v>
      </c>
      <c r="O67" s="233">
        <v>0</v>
      </c>
      <c r="P67" s="231">
        <f t="shared" si="7"/>
        <v>0</v>
      </c>
      <c r="Q67" s="151">
        <f t="shared" si="9"/>
        <v>0</v>
      </c>
      <c r="R67" s="231">
        <f t="shared" si="8"/>
        <v>0</v>
      </c>
      <c r="V67" s="288"/>
    </row>
    <row r="68" spans="1:27" s="287" customFormat="1" ht="34.5" customHeight="1">
      <c r="A68" s="294">
        <v>2</v>
      </c>
      <c r="B68" s="295" t="s">
        <v>309</v>
      </c>
      <c r="C68" s="296" t="s">
        <v>184</v>
      </c>
      <c r="D68" s="131">
        <v>1</v>
      </c>
      <c r="E68" s="297">
        <v>15.7</v>
      </c>
      <c r="F68" s="227">
        <f t="shared" si="0"/>
        <v>15.7</v>
      </c>
      <c r="G68" s="284">
        <v>3.7149999999999999</v>
      </c>
      <c r="H68" s="227">
        <f t="shared" si="1"/>
        <v>9.4360999999999997</v>
      </c>
      <c r="I68" s="298">
        <f t="shared" si="2"/>
        <v>148.14676999999998</v>
      </c>
      <c r="J68" s="253">
        <f>F68/Brass_Density</f>
        <v>1.8657159833630423</v>
      </c>
      <c r="K68" s="280">
        <f t="shared" si="3"/>
        <v>1.8657159833630423</v>
      </c>
      <c r="L68" s="142">
        <f t="shared" si="4"/>
        <v>3.7149999999999999</v>
      </c>
      <c r="M68" s="227">
        <f t="shared" si="5"/>
        <v>9.4360999999999997</v>
      </c>
      <c r="N68" s="298">
        <f t="shared" si="6"/>
        <v>17.605082590612003</v>
      </c>
      <c r="O68" s="284">
        <v>0</v>
      </c>
      <c r="P68" s="227">
        <f t="shared" si="7"/>
        <v>0</v>
      </c>
      <c r="Q68" s="280">
        <f t="shared" si="9"/>
        <v>0</v>
      </c>
      <c r="R68" s="227">
        <f t="shared" si="8"/>
        <v>0</v>
      </c>
      <c r="V68" s="288"/>
    </row>
    <row r="69" spans="1:27" s="287" customFormat="1" ht="17.100000000000001" customHeight="1">
      <c r="A69" s="299"/>
      <c r="B69" s="300"/>
      <c r="C69" s="301"/>
      <c r="D69" s="243"/>
      <c r="E69" s="302"/>
      <c r="F69" s="303"/>
      <c r="G69" s="304"/>
      <c r="H69" s="303"/>
      <c r="I69" s="305"/>
      <c r="J69" s="306"/>
      <c r="K69" s="305"/>
      <c r="L69" s="307"/>
      <c r="M69" s="303"/>
      <c r="N69" s="305"/>
      <c r="O69" s="308"/>
      <c r="P69" s="303"/>
      <c r="Q69" s="305"/>
      <c r="R69" s="303"/>
      <c r="V69" s="288"/>
    </row>
    <row r="70" spans="1:27" s="287" customFormat="1" ht="17.100000000000001" customHeight="1">
      <c r="A70" s="309">
        <v>1</v>
      </c>
      <c r="B70" s="310" t="s">
        <v>185</v>
      </c>
      <c r="C70" s="293"/>
      <c r="D70" s="224"/>
      <c r="E70" s="230"/>
      <c r="F70" s="231"/>
      <c r="G70" s="252"/>
      <c r="H70" s="231"/>
      <c r="I70" s="151"/>
      <c r="J70" s="253"/>
      <c r="K70" s="151"/>
      <c r="L70" s="254"/>
      <c r="M70" s="231"/>
      <c r="N70" s="151"/>
      <c r="O70" s="233"/>
      <c r="P70" s="231"/>
      <c r="Q70" s="151"/>
      <c r="R70" s="231"/>
      <c r="V70" s="288"/>
    </row>
    <row r="71" spans="1:27" s="287" customFormat="1" ht="17.100000000000001" customHeight="1">
      <c r="A71" s="294"/>
      <c r="B71" s="6" t="s">
        <v>300</v>
      </c>
      <c r="C71" s="254">
        <f>SUM(F73:F86)</f>
        <v>941.40000000000009</v>
      </c>
      <c r="D71" s="199" t="s">
        <v>238</v>
      </c>
      <c r="E71" s="221" t="s">
        <v>245</v>
      </c>
      <c r="F71" s="227"/>
      <c r="G71" s="284"/>
      <c r="H71" s="227"/>
      <c r="I71" s="280"/>
      <c r="J71" s="253"/>
      <c r="K71" s="280"/>
      <c r="L71" s="142"/>
      <c r="M71" s="227"/>
      <c r="N71" s="280"/>
      <c r="O71" s="233"/>
      <c r="P71" s="227"/>
      <c r="Q71" s="280"/>
      <c r="R71" s="227"/>
      <c r="V71" s="288"/>
    </row>
    <row r="72" spans="1:27" s="287" customFormat="1" ht="17.100000000000001" customHeight="1">
      <c r="A72" s="294"/>
      <c r="B72" s="153" t="s">
        <v>403</v>
      </c>
      <c r="C72" s="230">
        <v>951.4</v>
      </c>
      <c r="D72" s="273" t="s">
        <v>238</v>
      </c>
      <c r="E72" s="223">
        <f>C72-C71</f>
        <v>9.9999999999998863</v>
      </c>
      <c r="F72" s="227"/>
      <c r="G72" s="284"/>
      <c r="H72" s="227"/>
      <c r="I72" s="280"/>
      <c r="J72" s="253"/>
      <c r="K72" s="280"/>
      <c r="L72" s="142"/>
      <c r="M72" s="227"/>
      <c r="N72" s="280"/>
      <c r="O72" s="233"/>
      <c r="P72" s="227"/>
      <c r="Q72" s="280"/>
      <c r="R72" s="227"/>
      <c r="V72" s="288"/>
    </row>
    <row r="73" spans="1:27" s="290" customFormat="1" ht="17.100000000000001" customHeight="1">
      <c r="A73" s="124">
        <v>2</v>
      </c>
      <c r="B73" s="311" t="s">
        <v>186</v>
      </c>
      <c r="C73" s="294"/>
      <c r="D73" s="224">
        <v>1</v>
      </c>
      <c r="E73" s="230">
        <v>789.2</v>
      </c>
      <c r="F73" s="231">
        <f t="shared" ref="F73:F86" si="10">E73*D73</f>
        <v>789.2</v>
      </c>
      <c r="G73" s="284">
        <v>42.076999999999998</v>
      </c>
      <c r="H73" s="227">
        <f t="shared" ref="H73:H86" si="11">G73*2.54</f>
        <v>106.87558</v>
      </c>
      <c r="I73" s="280">
        <f t="shared" ref="I73:I86" si="12">F73*H73</f>
        <v>84346.207736000011</v>
      </c>
      <c r="J73" s="253">
        <f>E73/Lead_Density</f>
        <v>69.865439093484426</v>
      </c>
      <c r="K73" s="280">
        <f t="shared" ref="K73:K86" si="13">J73*D73</f>
        <v>69.865439093484426</v>
      </c>
      <c r="L73" s="312">
        <f t="shared" ref="L73:L86" si="14">G73</f>
        <v>42.076999999999998</v>
      </c>
      <c r="M73" s="142">
        <f t="shared" ref="M73:M86" si="15">L73*2.54</f>
        <v>106.87558</v>
      </c>
      <c r="N73" s="280">
        <f t="shared" ref="N73:N86" si="16">K73*M73</f>
        <v>7466.909325070822</v>
      </c>
      <c r="O73" s="233">
        <v>-5.16</v>
      </c>
      <c r="P73" s="227">
        <f t="shared" ref="P73:P86" si="17">O73*2.54</f>
        <v>-13.106400000000001</v>
      </c>
      <c r="Q73" s="280">
        <f t="shared" ref="Q73:Q86" si="18">F73*P73</f>
        <v>-10343.570880000001</v>
      </c>
      <c r="R73" s="231">
        <f t="shared" ref="R73:R86" si="19">K73*P73</f>
        <v>-915.68439093484437</v>
      </c>
      <c r="S73" s="129"/>
      <c r="T73" s="129"/>
      <c r="U73" s="126"/>
      <c r="V73" s="151"/>
      <c r="W73" s="126"/>
      <c r="X73" s="126"/>
      <c r="Y73" s="126"/>
      <c r="Z73" s="126"/>
      <c r="AA73" s="126"/>
    </row>
    <row r="74" spans="1:27" s="290" customFormat="1" ht="17.100000000000001" customHeight="1">
      <c r="A74" s="124">
        <v>2</v>
      </c>
      <c r="B74" s="291" t="s">
        <v>187</v>
      </c>
      <c r="C74" s="294"/>
      <c r="D74" s="224">
        <v>1</v>
      </c>
      <c r="E74" s="230">
        <v>107.1</v>
      </c>
      <c r="F74" s="227">
        <f t="shared" si="10"/>
        <v>107.1</v>
      </c>
      <c r="G74" s="284">
        <v>42.076999999999998</v>
      </c>
      <c r="H74" s="227">
        <f t="shared" si="11"/>
        <v>106.87558</v>
      </c>
      <c r="I74" s="280">
        <f t="shared" si="12"/>
        <v>11446.374618</v>
      </c>
      <c r="J74" s="253">
        <f>F74/Material!B9</f>
        <v>15.084507042253522</v>
      </c>
      <c r="K74" s="280">
        <f t="shared" si="13"/>
        <v>15.084507042253522</v>
      </c>
      <c r="L74" s="312">
        <f t="shared" si="14"/>
        <v>42.076999999999998</v>
      </c>
      <c r="M74" s="142">
        <f t="shared" si="15"/>
        <v>106.87558</v>
      </c>
      <c r="N74" s="280">
        <f t="shared" si="16"/>
        <v>1612.1654391549296</v>
      </c>
      <c r="O74" s="233">
        <v>-5</v>
      </c>
      <c r="P74" s="227">
        <f t="shared" si="17"/>
        <v>-12.7</v>
      </c>
      <c r="Q74" s="280">
        <f t="shared" si="18"/>
        <v>-1360.1699999999998</v>
      </c>
      <c r="R74" s="231">
        <f t="shared" si="19"/>
        <v>-191.57323943661973</v>
      </c>
      <c r="S74" s="129"/>
      <c r="T74" s="129"/>
      <c r="U74" s="126"/>
      <c r="V74" s="151"/>
      <c r="W74" s="126"/>
      <c r="X74" s="126"/>
      <c r="Y74" s="126"/>
      <c r="Z74" s="126"/>
      <c r="AA74" s="126"/>
    </row>
    <row r="75" spans="1:27" s="290" customFormat="1" ht="17.100000000000001" customHeight="1">
      <c r="A75" s="124">
        <v>2</v>
      </c>
      <c r="B75" s="311" t="s">
        <v>188</v>
      </c>
      <c r="C75" s="294"/>
      <c r="D75" s="224">
        <v>0</v>
      </c>
      <c r="E75" s="230">
        <v>0</v>
      </c>
      <c r="F75" s="227">
        <f t="shared" si="10"/>
        <v>0</v>
      </c>
      <c r="G75" s="284">
        <v>42.076999999999998</v>
      </c>
      <c r="H75" s="227">
        <f t="shared" si="11"/>
        <v>106.87558</v>
      </c>
      <c r="I75" s="280">
        <f t="shared" si="12"/>
        <v>0</v>
      </c>
      <c r="J75" s="253">
        <f>E75/Lead_Density</f>
        <v>0</v>
      </c>
      <c r="K75" s="280">
        <f t="shared" si="13"/>
        <v>0</v>
      </c>
      <c r="L75" s="312">
        <f t="shared" si="14"/>
        <v>42.076999999999998</v>
      </c>
      <c r="M75" s="142">
        <f t="shared" si="15"/>
        <v>106.87558</v>
      </c>
      <c r="N75" s="280">
        <f t="shared" si="16"/>
        <v>0</v>
      </c>
      <c r="O75" s="233">
        <v>0</v>
      </c>
      <c r="P75" s="227">
        <f t="shared" si="17"/>
        <v>0</v>
      </c>
      <c r="Q75" s="280">
        <f t="shared" si="18"/>
        <v>0</v>
      </c>
      <c r="R75" s="231">
        <f t="shared" si="19"/>
        <v>0</v>
      </c>
      <c r="S75" s="129"/>
      <c r="T75" s="129"/>
      <c r="U75" s="126"/>
      <c r="V75" s="151"/>
      <c r="W75" s="126"/>
      <c r="X75" s="126"/>
      <c r="Y75" s="126"/>
      <c r="Z75" s="126"/>
      <c r="AA75" s="126"/>
    </row>
    <row r="76" spans="1:27" s="290" customFormat="1" ht="17.100000000000001" customHeight="1">
      <c r="A76" s="124">
        <v>2</v>
      </c>
      <c r="B76" s="291" t="s">
        <v>189</v>
      </c>
      <c r="C76" s="294"/>
      <c r="D76" s="224">
        <v>0</v>
      </c>
      <c r="E76" s="230">
        <v>0</v>
      </c>
      <c r="F76" s="227">
        <f t="shared" si="10"/>
        <v>0</v>
      </c>
      <c r="G76" s="284">
        <v>42.076999999999998</v>
      </c>
      <c r="H76" s="227">
        <f t="shared" si="11"/>
        <v>106.87558</v>
      </c>
      <c r="I76" s="280">
        <f t="shared" si="12"/>
        <v>0</v>
      </c>
      <c r="J76" s="253">
        <f>F76/Material!B11</f>
        <v>0</v>
      </c>
      <c r="K76" s="280">
        <f t="shared" si="13"/>
        <v>0</v>
      </c>
      <c r="L76" s="312">
        <f t="shared" si="14"/>
        <v>42.076999999999998</v>
      </c>
      <c r="M76" s="142">
        <f t="shared" si="15"/>
        <v>106.87558</v>
      </c>
      <c r="N76" s="280">
        <f t="shared" si="16"/>
        <v>0</v>
      </c>
      <c r="O76" s="233">
        <v>0</v>
      </c>
      <c r="P76" s="227">
        <f t="shared" si="17"/>
        <v>0</v>
      </c>
      <c r="Q76" s="280">
        <f t="shared" si="18"/>
        <v>0</v>
      </c>
      <c r="R76" s="231">
        <f t="shared" si="19"/>
        <v>0</v>
      </c>
      <c r="S76" s="129"/>
      <c r="T76" s="129"/>
      <c r="U76" s="126">
        <v>39537</v>
      </c>
      <c r="V76" s="151"/>
      <c r="W76" s="126"/>
      <c r="X76" s="126"/>
      <c r="Y76" s="126"/>
      <c r="Z76" s="126"/>
      <c r="AA76" s="126"/>
    </row>
    <row r="77" spans="1:27" s="290" customFormat="1" ht="17.100000000000001" customHeight="1">
      <c r="A77" s="124">
        <v>2</v>
      </c>
      <c r="B77" s="311" t="s">
        <v>324</v>
      </c>
      <c r="C77" s="294"/>
      <c r="D77" s="224">
        <v>0</v>
      </c>
      <c r="E77" s="230">
        <v>0</v>
      </c>
      <c r="F77" s="227">
        <f t="shared" si="10"/>
        <v>0</v>
      </c>
      <c r="G77" s="284">
        <v>42.076999999999998</v>
      </c>
      <c r="H77" s="227">
        <f t="shared" si="11"/>
        <v>106.87558</v>
      </c>
      <c r="I77" s="280">
        <f t="shared" si="12"/>
        <v>0</v>
      </c>
      <c r="J77" s="253">
        <f>E77/Lead_Density</f>
        <v>0</v>
      </c>
      <c r="K77" s="280">
        <f t="shared" si="13"/>
        <v>0</v>
      </c>
      <c r="L77" s="312">
        <f t="shared" si="14"/>
        <v>42.076999999999998</v>
      </c>
      <c r="M77" s="142">
        <f t="shared" si="15"/>
        <v>106.87558</v>
      </c>
      <c r="N77" s="280">
        <f t="shared" si="16"/>
        <v>0</v>
      </c>
      <c r="O77" s="233">
        <v>0</v>
      </c>
      <c r="P77" s="227">
        <f t="shared" si="17"/>
        <v>0</v>
      </c>
      <c r="Q77" s="280">
        <f t="shared" si="18"/>
        <v>0</v>
      </c>
      <c r="R77" s="231">
        <f t="shared" si="19"/>
        <v>0</v>
      </c>
      <c r="S77" s="129"/>
      <c r="T77" s="129"/>
      <c r="U77" s="126">
        <v>951.4</v>
      </c>
      <c r="V77" s="151"/>
      <c r="W77" s="126"/>
      <c r="X77" s="126"/>
      <c r="Y77" s="126"/>
      <c r="Z77" s="126"/>
      <c r="AA77" s="126"/>
    </row>
    <row r="78" spans="1:27" s="290" customFormat="1" ht="17.100000000000001" customHeight="1">
      <c r="A78" s="124">
        <v>2</v>
      </c>
      <c r="B78" s="291" t="s">
        <v>325</v>
      </c>
      <c r="C78" s="294"/>
      <c r="D78" s="224">
        <v>0</v>
      </c>
      <c r="E78" s="230">
        <v>0</v>
      </c>
      <c r="F78" s="227">
        <f t="shared" si="10"/>
        <v>0</v>
      </c>
      <c r="G78" s="284">
        <v>42.076999999999998</v>
      </c>
      <c r="H78" s="227">
        <f t="shared" si="11"/>
        <v>106.87558</v>
      </c>
      <c r="I78" s="280">
        <f t="shared" si="12"/>
        <v>0</v>
      </c>
      <c r="J78" s="253">
        <f>F78/Material!B13</f>
        <v>0</v>
      </c>
      <c r="K78" s="280">
        <f t="shared" si="13"/>
        <v>0</v>
      </c>
      <c r="L78" s="312">
        <f t="shared" si="14"/>
        <v>42.076999999999998</v>
      </c>
      <c r="M78" s="142">
        <f t="shared" si="15"/>
        <v>106.87558</v>
      </c>
      <c r="N78" s="280">
        <f t="shared" si="16"/>
        <v>0</v>
      </c>
      <c r="O78" s="233">
        <v>0</v>
      </c>
      <c r="P78" s="227">
        <f t="shared" si="17"/>
        <v>0</v>
      </c>
      <c r="Q78" s="280">
        <f t="shared" si="18"/>
        <v>0</v>
      </c>
      <c r="R78" s="231">
        <f t="shared" si="19"/>
        <v>0</v>
      </c>
      <c r="S78" s="129"/>
      <c r="T78" s="129"/>
      <c r="U78" s="126">
        <f>U76-U77</f>
        <v>38585.599999999999</v>
      </c>
      <c r="V78" s="151"/>
      <c r="W78" s="126"/>
      <c r="X78" s="126"/>
      <c r="Y78" s="126"/>
      <c r="Z78" s="126"/>
      <c r="AA78" s="126"/>
    </row>
    <row r="79" spans="1:27" s="290" customFormat="1" ht="17.100000000000001" customHeight="1">
      <c r="A79" s="124">
        <v>2</v>
      </c>
      <c r="B79" s="311" t="s">
        <v>326</v>
      </c>
      <c r="C79" s="294"/>
      <c r="D79" s="224">
        <v>0</v>
      </c>
      <c r="E79" s="230">
        <v>0</v>
      </c>
      <c r="F79" s="227">
        <f t="shared" si="10"/>
        <v>0</v>
      </c>
      <c r="G79" s="284">
        <v>42.076999999999998</v>
      </c>
      <c r="H79" s="227">
        <f t="shared" si="11"/>
        <v>106.87558</v>
      </c>
      <c r="I79" s="280">
        <f t="shared" si="12"/>
        <v>0</v>
      </c>
      <c r="J79" s="253">
        <f>E79/Lead_Density</f>
        <v>0</v>
      </c>
      <c r="K79" s="280">
        <f t="shared" si="13"/>
        <v>0</v>
      </c>
      <c r="L79" s="312">
        <f t="shared" si="14"/>
        <v>42.076999999999998</v>
      </c>
      <c r="M79" s="142">
        <f t="shared" si="15"/>
        <v>106.87558</v>
      </c>
      <c r="N79" s="280">
        <f t="shared" si="16"/>
        <v>0</v>
      </c>
      <c r="O79" s="233">
        <v>5.0999999999999996</v>
      </c>
      <c r="P79" s="227">
        <f t="shared" si="17"/>
        <v>12.953999999999999</v>
      </c>
      <c r="Q79" s="280">
        <f t="shared" si="18"/>
        <v>0</v>
      </c>
      <c r="R79" s="231">
        <f t="shared" si="19"/>
        <v>0</v>
      </c>
      <c r="S79" s="129"/>
      <c r="T79" s="129"/>
      <c r="U79" s="126"/>
      <c r="V79" s="151"/>
      <c r="W79" s="126"/>
      <c r="X79" s="126"/>
      <c r="Y79" s="126"/>
      <c r="Z79" s="126"/>
      <c r="AA79" s="126"/>
    </row>
    <row r="80" spans="1:27" s="290" customFormat="1" ht="17.100000000000001" customHeight="1">
      <c r="A80" s="124">
        <v>2</v>
      </c>
      <c r="B80" s="291" t="s">
        <v>327</v>
      </c>
      <c r="C80" s="294"/>
      <c r="D80" s="224">
        <v>0</v>
      </c>
      <c r="E80" s="230">
        <v>0</v>
      </c>
      <c r="F80" s="227">
        <f t="shared" si="10"/>
        <v>0</v>
      </c>
      <c r="G80" s="284">
        <v>42.076999999999998</v>
      </c>
      <c r="H80" s="227">
        <f t="shared" si="11"/>
        <v>106.87558</v>
      </c>
      <c r="I80" s="280">
        <f t="shared" si="12"/>
        <v>0</v>
      </c>
      <c r="J80" s="253">
        <f>F80/Material!B15</f>
        <v>0</v>
      </c>
      <c r="K80" s="280">
        <f t="shared" si="13"/>
        <v>0</v>
      </c>
      <c r="L80" s="312">
        <f t="shared" si="14"/>
        <v>42.076999999999998</v>
      </c>
      <c r="M80" s="142">
        <f t="shared" si="15"/>
        <v>106.87558</v>
      </c>
      <c r="N80" s="280">
        <f t="shared" si="16"/>
        <v>0</v>
      </c>
      <c r="O80" s="233">
        <v>5</v>
      </c>
      <c r="P80" s="227">
        <f t="shared" si="17"/>
        <v>12.7</v>
      </c>
      <c r="Q80" s="280">
        <f t="shared" si="18"/>
        <v>0</v>
      </c>
      <c r="R80" s="231">
        <f t="shared" si="19"/>
        <v>0</v>
      </c>
      <c r="S80" s="129"/>
      <c r="T80" s="129"/>
      <c r="U80" s="126"/>
      <c r="V80" s="151"/>
      <c r="W80" s="126"/>
      <c r="X80" s="126"/>
      <c r="Y80" s="126"/>
      <c r="Z80" s="126"/>
      <c r="AA80" s="126"/>
    </row>
    <row r="81" spans="1:256" s="290" customFormat="1" ht="17.100000000000001" customHeight="1">
      <c r="A81" s="124">
        <v>2</v>
      </c>
      <c r="B81" s="311" t="s">
        <v>328</v>
      </c>
      <c r="C81" s="294"/>
      <c r="D81" s="224">
        <v>2</v>
      </c>
      <c r="E81" s="230">
        <v>0</v>
      </c>
      <c r="F81" s="227">
        <f t="shared" si="10"/>
        <v>0</v>
      </c>
      <c r="G81" s="284">
        <v>42.076999999999998</v>
      </c>
      <c r="H81" s="227">
        <f t="shared" si="11"/>
        <v>106.87558</v>
      </c>
      <c r="I81" s="280">
        <f t="shared" si="12"/>
        <v>0</v>
      </c>
      <c r="J81" s="253">
        <f>E81/PVC_Density</f>
        <v>0</v>
      </c>
      <c r="K81" s="280">
        <f t="shared" si="13"/>
        <v>0</v>
      </c>
      <c r="L81" s="312">
        <f t="shared" si="14"/>
        <v>42.076999999999998</v>
      </c>
      <c r="M81" s="142">
        <f t="shared" si="15"/>
        <v>106.87558</v>
      </c>
      <c r="N81" s="280">
        <f t="shared" si="16"/>
        <v>0</v>
      </c>
      <c r="O81" s="233">
        <v>5.0999999999999996</v>
      </c>
      <c r="P81" s="227">
        <f t="shared" si="17"/>
        <v>12.953999999999999</v>
      </c>
      <c r="Q81" s="280">
        <f t="shared" si="18"/>
        <v>0</v>
      </c>
      <c r="R81" s="231">
        <f t="shared" si="19"/>
        <v>0</v>
      </c>
      <c r="S81" s="129"/>
      <c r="T81" s="129"/>
      <c r="U81" s="126"/>
      <c r="V81" s="151"/>
      <c r="W81" s="126"/>
      <c r="X81" s="126"/>
      <c r="Y81" s="126"/>
      <c r="Z81" s="126"/>
      <c r="AA81" s="126"/>
    </row>
    <row r="82" spans="1:256" s="290" customFormat="1" ht="17.100000000000001" customHeight="1">
      <c r="A82" s="124">
        <v>2</v>
      </c>
      <c r="B82" s="291" t="s">
        <v>329</v>
      </c>
      <c r="C82" s="294"/>
      <c r="D82" s="224">
        <v>1</v>
      </c>
      <c r="E82" s="230">
        <v>30.1</v>
      </c>
      <c r="F82" s="227">
        <f t="shared" si="10"/>
        <v>30.1</v>
      </c>
      <c r="G82" s="284">
        <v>42.076999999999998</v>
      </c>
      <c r="H82" s="227">
        <f t="shared" si="11"/>
        <v>106.87558</v>
      </c>
      <c r="I82" s="280">
        <f t="shared" si="12"/>
        <v>3216.9549580000003</v>
      </c>
      <c r="J82" s="253">
        <f>F82/Material!B15</f>
        <v>26.151172893136405</v>
      </c>
      <c r="K82" s="280">
        <f t="shared" si="13"/>
        <v>26.151172893136405</v>
      </c>
      <c r="L82" s="312">
        <f t="shared" si="14"/>
        <v>42.076999999999998</v>
      </c>
      <c r="M82" s="142">
        <f t="shared" si="15"/>
        <v>106.87558</v>
      </c>
      <c r="N82" s="280">
        <f t="shared" si="16"/>
        <v>2794.9217706342311</v>
      </c>
      <c r="O82" s="233">
        <v>0</v>
      </c>
      <c r="P82" s="227">
        <f t="shared" si="17"/>
        <v>0</v>
      </c>
      <c r="Q82" s="280">
        <f t="shared" si="18"/>
        <v>0</v>
      </c>
      <c r="R82" s="231">
        <f t="shared" si="19"/>
        <v>0</v>
      </c>
      <c r="T82" s="129"/>
      <c r="U82" s="126"/>
      <c r="V82" s="151"/>
      <c r="W82" s="126"/>
      <c r="X82" s="126"/>
      <c r="Y82" s="126"/>
      <c r="Z82" s="126"/>
      <c r="AA82" s="126"/>
    </row>
    <row r="83" spans="1:256" ht="15">
      <c r="A83" s="10">
        <v>2</v>
      </c>
      <c r="B83" s="582" t="s">
        <v>330</v>
      </c>
      <c r="C83" s="294"/>
      <c r="D83" s="224">
        <v>1</v>
      </c>
      <c r="E83" s="581">
        <v>15</v>
      </c>
      <c r="F83" s="227">
        <f t="shared" si="10"/>
        <v>15</v>
      </c>
      <c r="G83" s="284">
        <v>22.45</v>
      </c>
      <c r="H83" s="227">
        <f t="shared" si="11"/>
        <v>57.022999999999996</v>
      </c>
      <c r="I83" s="280">
        <f t="shared" si="12"/>
        <v>855.34499999999991</v>
      </c>
      <c r="J83" s="253">
        <f>E83/Lead_Density</f>
        <v>1.3279036827195467</v>
      </c>
      <c r="K83" s="280">
        <f t="shared" si="13"/>
        <v>1.3279036827195467</v>
      </c>
      <c r="L83" s="312">
        <f t="shared" si="14"/>
        <v>22.45</v>
      </c>
      <c r="M83" s="142">
        <f t="shared" si="15"/>
        <v>57.022999999999996</v>
      </c>
      <c r="N83" s="280">
        <f t="shared" si="16"/>
        <v>75.72105169971671</v>
      </c>
      <c r="O83" s="233">
        <v>4.0350000000000001</v>
      </c>
      <c r="P83" s="227">
        <f t="shared" si="17"/>
        <v>10.248900000000001</v>
      </c>
      <c r="Q83" s="280">
        <f t="shared" si="18"/>
        <v>153.73350000000002</v>
      </c>
      <c r="R83" s="231">
        <f t="shared" si="19"/>
        <v>13.609552053824364</v>
      </c>
      <c r="S83"/>
      <c r="T83"/>
      <c r="U83"/>
      <c r="V83" s="1"/>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s="290" customFormat="1" ht="17.100000000000001" customHeight="1">
      <c r="A84" s="124">
        <v>2</v>
      </c>
      <c r="B84" s="311" t="s">
        <v>331</v>
      </c>
      <c r="C84" s="294"/>
      <c r="D84" s="224">
        <v>0</v>
      </c>
      <c r="E84" s="230">
        <v>0</v>
      </c>
      <c r="F84" s="227">
        <f t="shared" si="10"/>
        <v>0</v>
      </c>
      <c r="G84" s="284">
        <v>22.45</v>
      </c>
      <c r="H84" s="227">
        <f t="shared" si="11"/>
        <v>57.022999999999996</v>
      </c>
      <c r="I84" s="280">
        <f t="shared" si="12"/>
        <v>0</v>
      </c>
      <c r="J84" s="253">
        <f>E84/PVC_Density</f>
        <v>0</v>
      </c>
      <c r="K84" s="280">
        <f t="shared" si="13"/>
        <v>0</v>
      </c>
      <c r="L84" s="312">
        <f t="shared" si="14"/>
        <v>22.45</v>
      </c>
      <c r="M84" s="142">
        <f t="shared" si="15"/>
        <v>57.022999999999996</v>
      </c>
      <c r="N84" s="280">
        <f t="shared" si="16"/>
        <v>0</v>
      </c>
      <c r="O84" s="233">
        <v>4.0350000000000001</v>
      </c>
      <c r="P84" s="227">
        <f t="shared" si="17"/>
        <v>10.248900000000001</v>
      </c>
      <c r="Q84" s="280">
        <f t="shared" si="18"/>
        <v>0</v>
      </c>
      <c r="R84" s="231">
        <f t="shared" si="19"/>
        <v>0</v>
      </c>
      <c r="S84" s="129"/>
      <c r="T84" s="129"/>
      <c r="U84" s="126"/>
      <c r="V84" s="151"/>
      <c r="W84" s="126"/>
      <c r="X84" s="126"/>
      <c r="Y84" s="126"/>
      <c r="Z84" s="126"/>
      <c r="AA84" s="126"/>
    </row>
    <row r="85" spans="1:256" s="290" customFormat="1" ht="17.100000000000001" customHeight="1">
      <c r="A85" s="124">
        <v>2</v>
      </c>
      <c r="B85" s="291" t="s">
        <v>332</v>
      </c>
      <c r="C85" s="294"/>
      <c r="D85" s="224">
        <v>0</v>
      </c>
      <c r="E85" s="230">
        <v>0</v>
      </c>
      <c r="F85" s="227">
        <f t="shared" si="10"/>
        <v>0</v>
      </c>
      <c r="G85" s="284">
        <v>22.45</v>
      </c>
      <c r="H85" s="227">
        <f t="shared" si="11"/>
        <v>57.022999999999996</v>
      </c>
      <c r="I85" s="280">
        <f t="shared" si="12"/>
        <v>0</v>
      </c>
      <c r="J85" s="253">
        <f>F85/Material!B14</f>
        <v>0</v>
      </c>
      <c r="K85" s="280">
        <f t="shared" si="13"/>
        <v>0</v>
      </c>
      <c r="L85" s="312">
        <f t="shared" si="14"/>
        <v>22.45</v>
      </c>
      <c r="M85" s="142">
        <f t="shared" si="15"/>
        <v>57.022999999999996</v>
      </c>
      <c r="N85" s="280">
        <f t="shared" si="16"/>
        <v>0</v>
      </c>
      <c r="O85" s="233">
        <v>4</v>
      </c>
      <c r="P85" s="227">
        <f t="shared" si="17"/>
        <v>10.16</v>
      </c>
      <c r="Q85" s="280">
        <f t="shared" si="18"/>
        <v>0</v>
      </c>
      <c r="R85" s="231">
        <f t="shared" si="19"/>
        <v>0</v>
      </c>
      <c r="S85" s="129"/>
      <c r="T85" s="129"/>
      <c r="U85" s="126"/>
      <c r="V85" s="151"/>
      <c r="W85" s="126"/>
      <c r="X85" s="126"/>
      <c r="Y85" s="126"/>
      <c r="Z85" s="126"/>
      <c r="AA85" s="126"/>
    </row>
    <row r="86" spans="1:256" s="290" customFormat="1" ht="17.100000000000001" customHeight="1">
      <c r="A86" s="124">
        <v>2</v>
      </c>
      <c r="B86" s="291" t="s">
        <v>457</v>
      </c>
      <c r="C86" s="294"/>
      <c r="D86" s="224">
        <v>0</v>
      </c>
      <c r="E86" s="230">
        <v>0</v>
      </c>
      <c r="F86" s="227">
        <f t="shared" si="10"/>
        <v>0</v>
      </c>
      <c r="G86" s="284">
        <v>22.45</v>
      </c>
      <c r="H86" s="227">
        <f t="shared" si="11"/>
        <v>57.022999999999996</v>
      </c>
      <c r="I86" s="280">
        <f t="shared" si="12"/>
        <v>0</v>
      </c>
      <c r="J86" s="253">
        <f>E86/Material!B15</f>
        <v>0</v>
      </c>
      <c r="K86" s="280">
        <f t="shared" si="13"/>
        <v>0</v>
      </c>
      <c r="L86" s="312">
        <f t="shared" si="14"/>
        <v>22.45</v>
      </c>
      <c r="M86" s="142">
        <f t="shared" si="15"/>
        <v>57.022999999999996</v>
      </c>
      <c r="N86" s="280">
        <f t="shared" si="16"/>
        <v>0</v>
      </c>
      <c r="O86" s="233">
        <v>0</v>
      </c>
      <c r="P86" s="227">
        <f t="shared" si="17"/>
        <v>0</v>
      </c>
      <c r="Q86" s="280">
        <f t="shared" si="18"/>
        <v>0</v>
      </c>
      <c r="R86" s="231">
        <f t="shared" si="19"/>
        <v>0</v>
      </c>
      <c r="S86" s="129"/>
      <c r="T86" s="129"/>
      <c r="U86" s="126"/>
      <c r="V86" s="151"/>
      <c r="W86" s="126"/>
      <c r="X86" s="126"/>
      <c r="Y86" s="126"/>
      <c r="Z86" s="126"/>
      <c r="AA86" s="126"/>
    </row>
    <row r="87" spans="1:256" s="290" customFormat="1" ht="17.100000000000001" customHeight="1">
      <c r="B87" s="313" t="s">
        <v>458</v>
      </c>
      <c r="C87" s="314">
        <v>1205</v>
      </c>
      <c r="D87" s="224"/>
      <c r="E87" s="230"/>
      <c r="F87" s="227"/>
      <c r="G87" s="284"/>
      <c r="H87" s="227"/>
      <c r="I87" s="280"/>
      <c r="J87" s="253"/>
      <c r="K87" s="280"/>
      <c r="L87" s="142"/>
      <c r="M87" s="142"/>
      <c r="N87" s="280"/>
      <c r="O87" s="233"/>
      <c r="P87" s="227"/>
      <c r="Q87" s="280"/>
      <c r="R87" s="231"/>
      <c r="S87" s="129"/>
      <c r="T87" s="129"/>
      <c r="U87" s="126"/>
      <c r="V87" s="151"/>
      <c r="W87" s="126"/>
      <c r="X87" s="126"/>
      <c r="Y87" s="126"/>
      <c r="Z87" s="126"/>
      <c r="AA87" s="126"/>
    </row>
    <row r="88" spans="1:256" s="290" customFormat="1" ht="17.100000000000001" customHeight="1">
      <c r="A88" s="315"/>
      <c r="B88" s="316" t="s">
        <v>459</v>
      </c>
      <c r="C88" s="317">
        <f>SUM(F65:F86)</f>
        <v>1204.6999999999998</v>
      </c>
      <c r="D88" s="318">
        <f>C87-C88</f>
        <v>0.3000000000001819</v>
      </c>
      <c r="E88" s="319" t="s">
        <v>245</v>
      </c>
      <c r="F88" s="303"/>
      <c r="G88" s="304"/>
      <c r="H88" s="303"/>
      <c r="I88" s="305"/>
      <c r="J88" s="306"/>
      <c r="K88" s="305"/>
      <c r="L88" s="307"/>
      <c r="M88" s="307"/>
      <c r="N88" s="305"/>
      <c r="O88" s="308"/>
      <c r="P88" s="303"/>
      <c r="Q88" s="305"/>
      <c r="R88" s="303"/>
      <c r="S88" s="129"/>
      <c r="T88" s="129"/>
      <c r="U88" s="126"/>
      <c r="V88" s="151"/>
      <c r="W88" s="126"/>
      <c r="X88" s="126"/>
      <c r="Y88" s="126"/>
      <c r="Z88" s="126"/>
      <c r="AA88" s="126"/>
    </row>
    <row r="89" spans="1:256" s="147" customFormat="1" ht="17.100000000000001" customHeight="1">
      <c r="A89" s="120">
        <v>1</v>
      </c>
      <c r="B89" s="147" t="s">
        <v>460</v>
      </c>
      <c r="C89" s="120">
        <v>55497</v>
      </c>
      <c r="D89" s="267"/>
      <c r="E89" s="320"/>
      <c r="J89" s="321"/>
      <c r="O89" s="321"/>
      <c r="S89" s="218"/>
      <c r="T89" s="218"/>
      <c r="U89" s="218"/>
      <c r="V89" s="219"/>
      <c r="W89" s="218"/>
      <c r="X89" s="218"/>
      <c r="Y89" s="218"/>
      <c r="Z89" s="218"/>
      <c r="AA89" s="218"/>
    </row>
    <row r="90" spans="1:256" s="147" customFormat="1" ht="17.100000000000001" customHeight="1">
      <c r="A90" s="120"/>
      <c r="B90" s="6" t="s">
        <v>300</v>
      </c>
      <c r="C90" s="149">
        <f>SUM(F93:F148)</f>
        <v>4973.3</v>
      </c>
      <c r="D90" s="199" t="s">
        <v>238</v>
      </c>
      <c r="E90" s="221" t="s">
        <v>245</v>
      </c>
      <c r="F90" s="149"/>
      <c r="G90" s="322"/>
      <c r="H90" s="217"/>
      <c r="J90" s="323"/>
      <c r="L90" s="324"/>
      <c r="M90" s="217"/>
      <c r="N90" s="219"/>
      <c r="O90" s="325"/>
      <c r="P90" s="217"/>
      <c r="Q90" s="219"/>
      <c r="R90" s="326"/>
      <c r="S90" s="218"/>
      <c r="T90" s="218"/>
      <c r="U90" s="218"/>
      <c r="V90" s="219"/>
      <c r="W90" s="218"/>
      <c r="X90" s="218"/>
      <c r="Y90" s="218"/>
      <c r="Z90" s="218"/>
      <c r="AA90" s="218"/>
    </row>
    <row r="91" spans="1:256" s="147" customFormat="1" ht="16.5" customHeight="1">
      <c r="A91" s="120"/>
      <c r="B91" s="6" t="s">
        <v>403</v>
      </c>
      <c r="C91" s="230">
        <v>4977</v>
      </c>
      <c r="D91" s="199" t="s">
        <v>238</v>
      </c>
      <c r="E91" s="223">
        <f>C91-C90</f>
        <v>3.6999999999998181</v>
      </c>
      <c r="I91" s="327"/>
      <c r="O91" s="321"/>
      <c r="S91"/>
      <c r="T91"/>
      <c r="U91"/>
      <c r="V91"/>
      <c r="W91"/>
      <c r="X91"/>
      <c r="Y91"/>
      <c r="Z91"/>
      <c r="AA91"/>
      <c r="AB91"/>
      <c r="AC91"/>
      <c r="AD91"/>
      <c r="AE91"/>
      <c r="AF91"/>
    </row>
    <row r="92" spans="1:256" s="147" customFormat="1" ht="16.5" customHeight="1">
      <c r="A92" s="120"/>
      <c r="B92" s="6"/>
      <c r="C92" s="230"/>
      <c r="D92" s="199"/>
      <c r="E92" s="223"/>
      <c r="I92" s="247"/>
      <c r="O92" s="321"/>
      <c r="S92"/>
      <c r="T92"/>
      <c r="U92"/>
      <c r="V92"/>
      <c r="W92"/>
      <c r="X92"/>
      <c r="Y92"/>
      <c r="Z92"/>
      <c r="AA92"/>
      <c r="AB92"/>
      <c r="AC92"/>
      <c r="AD92"/>
      <c r="AE92"/>
      <c r="AF92"/>
    </row>
    <row r="93" spans="1:256" s="290" customFormat="1" ht="17.100000000000001" customHeight="1">
      <c r="A93" s="124">
        <v>2</v>
      </c>
      <c r="B93" s="126" t="s">
        <v>461</v>
      </c>
      <c r="C93" s="293" t="s">
        <v>462</v>
      </c>
      <c r="D93" s="224">
        <v>1</v>
      </c>
      <c r="E93" s="230">
        <v>1948</v>
      </c>
      <c r="F93" s="231">
        <f t="shared" ref="F93:F103" si="20">E93*D93</f>
        <v>1948</v>
      </c>
      <c r="G93" s="286">
        <v>54.87</v>
      </c>
      <c r="H93" s="231">
        <f>G93*2.54</f>
        <v>139.3698</v>
      </c>
      <c r="I93" s="151">
        <f t="shared" ref="I93:I103" si="21">F93*H93</f>
        <v>271492.37040000001</v>
      </c>
      <c r="J93" s="253">
        <f>F93/Fiberglass_Density</f>
        <v>1298.2403371927383</v>
      </c>
      <c r="K93" s="151">
        <f t="shared" ref="K93:K103" si="22">J93*D93</f>
        <v>1298.2403371927383</v>
      </c>
      <c r="L93" s="254">
        <f>G93</f>
        <v>54.87</v>
      </c>
      <c r="M93" s="231">
        <f>L93*2.54</f>
        <v>139.3698</v>
      </c>
      <c r="N93" s="151">
        <f t="shared" ref="N93:N103" si="23">K93*M93</f>
        <v>180935.49614648448</v>
      </c>
      <c r="O93" s="233">
        <v>-0.02</v>
      </c>
      <c r="P93" s="231">
        <f t="shared" ref="P93:P103" si="24">O93*2.54</f>
        <v>-5.0800000000000005E-2</v>
      </c>
      <c r="Q93" s="151">
        <f t="shared" ref="Q93:Q103" si="25">F93*P93</f>
        <v>-98.958400000000012</v>
      </c>
      <c r="R93" s="231">
        <f t="shared" ref="R93:R103" si="26">K93*P93</f>
        <v>-65.950609129391111</v>
      </c>
      <c r="S93" s="126"/>
      <c r="T93" s="126"/>
      <c r="U93" s="126"/>
      <c r="V93" s="151"/>
      <c r="W93" s="126"/>
      <c r="X93" s="126"/>
      <c r="Y93" s="126"/>
      <c r="Z93" s="126"/>
      <c r="AA93" s="126"/>
    </row>
    <row r="94" spans="1:256" s="126" customFormat="1" ht="17.100000000000001" customHeight="1">
      <c r="A94" s="124">
        <v>2</v>
      </c>
      <c r="B94" s="290" t="s">
        <v>463</v>
      </c>
      <c r="C94" s="293">
        <v>49838</v>
      </c>
      <c r="D94" s="224">
        <v>1</v>
      </c>
      <c r="E94" s="230">
        <v>669</v>
      </c>
      <c r="F94" s="231">
        <f t="shared" si="20"/>
        <v>669</v>
      </c>
      <c r="G94" s="252"/>
      <c r="H94" s="231">
        <v>130.69999999999999</v>
      </c>
      <c r="I94" s="151">
        <f t="shared" si="21"/>
        <v>87438.299999999988</v>
      </c>
      <c r="J94" s="328">
        <f>D94*641.6</f>
        <v>641.6</v>
      </c>
      <c r="K94" s="151">
        <f t="shared" si="22"/>
        <v>641.6</v>
      </c>
      <c r="L94" s="254"/>
      <c r="M94" s="231">
        <f>H94</f>
        <v>130.69999999999999</v>
      </c>
      <c r="N94" s="151">
        <f t="shared" si="23"/>
        <v>83857.119999999995</v>
      </c>
      <c r="O94" s="233">
        <v>0</v>
      </c>
      <c r="P94" s="231">
        <f t="shared" si="24"/>
        <v>0</v>
      </c>
      <c r="Q94" s="151">
        <f t="shared" si="25"/>
        <v>0</v>
      </c>
      <c r="R94" s="231">
        <f t="shared" si="26"/>
        <v>0</v>
      </c>
    </row>
    <row r="95" spans="1:256" s="126" customFormat="1" ht="17.100000000000001" customHeight="1">
      <c r="A95" s="124">
        <v>2</v>
      </c>
      <c r="B95" s="290" t="s">
        <v>464</v>
      </c>
      <c r="C95" s="293">
        <v>49838</v>
      </c>
      <c r="D95" s="224">
        <v>0</v>
      </c>
      <c r="E95" s="230">
        <v>0</v>
      </c>
      <c r="F95" s="231">
        <f t="shared" si="20"/>
        <v>0</v>
      </c>
      <c r="G95" s="252"/>
      <c r="H95" s="231">
        <v>130.69999999999999</v>
      </c>
      <c r="I95" s="151">
        <f t="shared" si="21"/>
        <v>0</v>
      </c>
      <c r="J95" s="328">
        <f>D95*759.3</f>
        <v>0</v>
      </c>
      <c r="K95" s="151">
        <f t="shared" si="22"/>
        <v>0</v>
      </c>
      <c r="L95" s="254"/>
      <c r="M95" s="231">
        <f>H95</f>
        <v>130.69999999999999</v>
      </c>
      <c r="N95" s="151">
        <f t="shared" si="23"/>
        <v>0</v>
      </c>
      <c r="O95" s="233">
        <v>0</v>
      </c>
      <c r="P95" s="231">
        <f t="shared" si="24"/>
        <v>0</v>
      </c>
      <c r="Q95" s="151">
        <f t="shared" si="25"/>
        <v>0</v>
      </c>
      <c r="R95" s="231">
        <f t="shared" si="26"/>
        <v>0</v>
      </c>
    </row>
    <row r="96" spans="1:256" s="126" customFormat="1" ht="16.5" customHeight="1">
      <c r="A96" s="124">
        <v>2</v>
      </c>
      <c r="B96" s="290" t="s">
        <v>465</v>
      </c>
      <c r="C96" s="293">
        <v>49838</v>
      </c>
      <c r="D96" s="224">
        <v>1</v>
      </c>
      <c r="E96" s="230">
        <v>623</v>
      </c>
      <c r="F96" s="231">
        <f t="shared" si="20"/>
        <v>623</v>
      </c>
      <c r="G96" s="252"/>
      <c r="H96" s="231">
        <v>130.69999999999999</v>
      </c>
      <c r="I96" s="151">
        <f t="shared" si="21"/>
        <v>81426.099999999991</v>
      </c>
      <c r="J96" s="328">
        <f>D96*641.6</f>
        <v>641.6</v>
      </c>
      <c r="K96" s="151">
        <f t="shared" si="22"/>
        <v>641.6</v>
      </c>
      <c r="L96" s="254"/>
      <c r="M96" s="231">
        <f>H96</f>
        <v>130.69999999999999</v>
      </c>
      <c r="N96" s="151">
        <f t="shared" si="23"/>
        <v>83857.119999999995</v>
      </c>
      <c r="O96" s="233">
        <v>0</v>
      </c>
      <c r="P96" s="231">
        <f t="shared" si="24"/>
        <v>0</v>
      </c>
      <c r="Q96" s="151">
        <f t="shared" si="25"/>
        <v>0</v>
      </c>
      <c r="R96" s="231">
        <f t="shared" si="26"/>
        <v>0</v>
      </c>
    </row>
    <row r="97" spans="1:32" s="126" customFormat="1" ht="16.5" customHeight="1">
      <c r="A97" s="124">
        <v>2</v>
      </c>
      <c r="B97" s="290" t="s">
        <v>466</v>
      </c>
      <c r="C97" s="293">
        <v>49838</v>
      </c>
      <c r="D97" s="224">
        <v>0</v>
      </c>
      <c r="E97" s="230">
        <v>0</v>
      </c>
      <c r="F97" s="231">
        <f t="shared" si="20"/>
        <v>0</v>
      </c>
      <c r="G97" s="252"/>
      <c r="H97" s="231">
        <v>130.69999999999999</v>
      </c>
      <c r="I97" s="151">
        <f t="shared" si="21"/>
        <v>0</v>
      </c>
      <c r="J97" s="328">
        <f>D97*759.3</f>
        <v>0</v>
      </c>
      <c r="K97" s="151">
        <f t="shared" si="22"/>
        <v>0</v>
      </c>
      <c r="L97" s="254"/>
      <c r="M97" s="231">
        <f>H97</f>
        <v>130.69999999999999</v>
      </c>
      <c r="N97" s="151">
        <f t="shared" si="23"/>
        <v>0</v>
      </c>
      <c r="O97" s="233">
        <v>0</v>
      </c>
      <c r="P97" s="231">
        <f t="shared" si="24"/>
        <v>0</v>
      </c>
      <c r="Q97" s="151">
        <f t="shared" si="25"/>
        <v>0</v>
      </c>
      <c r="R97" s="231">
        <f t="shared" si="26"/>
        <v>0</v>
      </c>
    </row>
    <row r="98" spans="1:32" s="257" customFormat="1" ht="17.100000000000001" customHeight="1">
      <c r="A98" s="124">
        <v>2</v>
      </c>
      <c r="B98" s="126" t="s">
        <v>467</v>
      </c>
      <c r="C98" s="293"/>
      <c r="D98" s="224">
        <v>1</v>
      </c>
      <c r="E98" s="230">
        <v>10.4</v>
      </c>
      <c r="F98" s="231">
        <f t="shared" si="20"/>
        <v>10.4</v>
      </c>
      <c r="G98" s="252">
        <v>50</v>
      </c>
      <c r="H98" s="231">
        <f t="shared" ref="H98:H103" si="27">G98*2.54</f>
        <v>127</v>
      </c>
      <c r="I98" s="151">
        <f t="shared" si="21"/>
        <v>1320.8</v>
      </c>
      <c r="J98" s="253">
        <f>E98/SS_Density</f>
        <v>1.2956272580042358</v>
      </c>
      <c r="K98" s="151">
        <f t="shared" si="22"/>
        <v>1.2956272580042358</v>
      </c>
      <c r="L98" s="254">
        <f t="shared" ref="L98:L103" si="28">G98</f>
        <v>50</v>
      </c>
      <c r="M98" s="231">
        <f t="shared" ref="M98:M103" si="29">L98*2.54</f>
        <v>127</v>
      </c>
      <c r="N98" s="151">
        <f t="shared" si="23"/>
        <v>164.54466176653796</v>
      </c>
      <c r="O98" s="233">
        <v>0</v>
      </c>
      <c r="P98" s="231">
        <f t="shared" si="24"/>
        <v>0</v>
      </c>
      <c r="Q98" s="151">
        <f t="shared" si="25"/>
        <v>0</v>
      </c>
      <c r="R98" s="231">
        <f t="shared" si="26"/>
        <v>0</v>
      </c>
      <c r="S98" s="255"/>
      <c r="T98" s="255"/>
      <c r="U98" s="255">
        <f>473+369+2991+240+623+669</f>
        <v>5365</v>
      </c>
      <c r="V98" s="256"/>
      <c r="W98" s="255"/>
      <c r="X98" s="255"/>
      <c r="Y98" s="255"/>
      <c r="Z98" s="255"/>
      <c r="AA98" s="255"/>
    </row>
    <row r="99" spans="1:32" s="290" customFormat="1" ht="17.100000000000001" customHeight="1">
      <c r="A99" s="124">
        <v>2</v>
      </c>
      <c r="B99" s="290" t="s">
        <v>344</v>
      </c>
      <c r="C99" s="293">
        <v>49839</v>
      </c>
      <c r="D99" s="224">
        <v>1</v>
      </c>
      <c r="E99" s="230">
        <v>178</v>
      </c>
      <c r="F99" s="231">
        <f t="shared" si="20"/>
        <v>178</v>
      </c>
      <c r="G99" s="252">
        <v>67.578000000000003</v>
      </c>
      <c r="H99" s="231">
        <f t="shared" si="27"/>
        <v>171.64812000000001</v>
      </c>
      <c r="I99" s="151">
        <f t="shared" si="21"/>
        <v>30553.36536</v>
      </c>
      <c r="J99" s="253">
        <f>E99/Material!B16</f>
        <v>147.10743801652893</v>
      </c>
      <c r="K99" s="151">
        <f t="shared" si="22"/>
        <v>147.10743801652893</v>
      </c>
      <c r="L99" s="254">
        <f t="shared" si="28"/>
        <v>67.578000000000003</v>
      </c>
      <c r="M99" s="231">
        <f t="shared" si="29"/>
        <v>171.64812000000001</v>
      </c>
      <c r="N99" s="151">
        <f t="shared" si="23"/>
        <v>25250.715173553719</v>
      </c>
      <c r="O99" s="233">
        <v>0</v>
      </c>
      <c r="P99" s="231">
        <f t="shared" si="24"/>
        <v>0</v>
      </c>
      <c r="Q99" s="151">
        <f t="shared" si="25"/>
        <v>0</v>
      </c>
      <c r="R99" s="231">
        <f t="shared" si="26"/>
        <v>0</v>
      </c>
      <c r="S99" s="126"/>
      <c r="T99" s="126"/>
      <c r="U99" s="126"/>
      <c r="V99" s="151"/>
      <c r="W99" s="126"/>
      <c r="X99" s="126"/>
      <c r="Y99" s="126"/>
      <c r="Z99" s="126"/>
      <c r="AA99" s="126"/>
    </row>
    <row r="100" spans="1:32" s="290" customFormat="1" ht="17.100000000000001" customHeight="1">
      <c r="A100" s="124">
        <v>2</v>
      </c>
      <c r="B100" s="329" t="s">
        <v>345</v>
      </c>
      <c r="C100" s="330"/>
      <c r="D100" s="224">
        <v>1</v>
      </c>
      <c r="E100" s="230">
        <v>20.399999999999999</v>
      </c>
      <c r="F100" s="227">
        <f t="shared" si="20"/>
        <v>20.399999999999999</v>
      </c>
      <c r="G100" s="284">
        <v>67.75</v>
      </c>
      <c r="H100" s="227">
        <f t="shared" si="27"/>
        <v>172.08500000000001</v>
      </c>
      <c r="I100" s="280">
        <f t="shared" si="21"/>
        <v>3510.5340000000001</v>
      </c>
      <c r="J100" s="253">
        <f>E100/SS_Density</f>
        <v>2.5414226983929238</v>
      </c>
      <c r="K100" s="280">
        <f t="shared" si="22"/>
        <v>2.5414226983929238</v>
      </c>
      <c r="L100" s="142">
        <f t="shared" si="28"/>
        <v>67.75</v>
      </c>
      <c r="M100" s="227">
        <f t="shared" si="29"/>
        <v>172.08500000000001</v>
      </c>
      <c r="N100" s="151">
        <f t="shared" si="23"/>
        <v>437.34072505294631</v>
      </c>
      <c r="O100" s="233">
        <v>0</v>
      </c>
      <c r="P100" s="227">
        <f t="shared" si="24"/>
        <v>0</v>
      </c>
      <c r="Q100" s="280">
        <f t="shared" si="25"/>
        <v>0</v>
      </c>
      <c r="R100" s="231">
        <f t="shared" si="26"/>
        <v>0</v>
      </c>
      <c r="S100" s="331"/>
      <c r="T100" s="332"/>
      <c r="U100" s="126"/>
      <c r="V100" s="151"/>
      <c r="W100" s="126"/>
      <c r="X100" s="126"/>
      <c r="Y100" s="126"/>
      <c r="Z100" s="126"/>
      <c r="AA100" s="126"/>
    </row>
    <row r="101" spans="1:32" s="290" customFormat="1" ht="17.100000000000001" customHeight="1">
      <c r="A101" s="124">
        <v>2</v>
      </c>
      <c r="B101" s="291" t="s">
        <v>346</v>
      </c>
      <c r="C101" s="294">
        <v>57651</v>
      </c>
      <c r="D101" s="224">
        <v>1</v>
      </c>
      <c r="E101" s="230">
        <v>212</v>
      </c>
      <c r="F101" s="227">
        <f t="shared" si="20"/>
        <v>212</v>
      </c>
      <c r="G101" s="284">
        <v>54.3</v>
      </c>
      <c r="H101" s="227">
        <f t="shared" si="27"/>
        <v>137.922</v>
      </c>
      <c r="I101" s="280">
        <f t="shared" si="21"/>
        <v>29239.464</v>
      </c>
      <c r="J101" s="253">
        <f>E101/Material!B16</f>
        <v>175.20661157024793</v>
      </c>
      <c r="K101" s="280">
        <f t="shared" si="22"/>
        <v>175.20661157024793</v>
      </c>
      <c r="L101" s="142">
        <f t="shared" si="28"/>
        <v>54.3</v>
      </c>
      <c r="M101" s="142">
        <f t="shared" si="29"/>
        <v>137.922</v>
      </c>
      <c r="N101" s="280">
        <f t="shared" si="23"/>
        <v>24164.846280991733</v>
      </c>
      <c r="O101" s="233">
        <v>1.65</v>
      </c>
      <c r="P101" s="227">
        <f t="shared" si="24"/>
        <v>4.1909999999999998</v>
      </c>
      <c r="Q101" s="280">
        <f t="shared" si="25"/>
        <v>888.49199999999996</v>
      </c>
      <c r="R101" s="231">
        <f t="shared" si="26"/>
        <v>734.29090909090905</v>
      </c>
      <c r="S101" s="129"/>
      <c r="T101" s="129"/>
      <c r="U101" s="126"/>
      <c r="V101" s="151"/>
      <c r="W101" s="126"/>
      <c r="X101" s="126"/>
      <c r="Y101" s="126"/>
      <c r="Z101" s="126"/>
      <c r="AA101" s="126"/>
    </row>
    <row r="102" spans="1:32" s="290" customFormat="1" ht="17.100000000000001" customHeight="1">
      <c r="A102" s="124">
        <v>2</v>
      </c>
      <c r="B102" s="311" t="s">
        <v>347</v>
      </c>
      <c r="C102" s="294">
        <v>57651</v>
      </c>
      <c r="D102" s="224">
        <v>1</v>
      </c>
      <c r="E102" s="230">
        <v>213</v>
      </c>
      <c r="F102" s="227">
        <f t="shared" si="20"/>
        <v>213</v>
      </c>
      <c r="G102" s="284">
        <v>54.3</v>
      </c>
      <c r="H102" s="227">
        <f t="shared" si="27"/>
        <v>137.922</v>
      </c>
      <c r="I102" s="280">
        <f t="shared" si="21"/>
        <v>29377.385999999999</v>
      </c>
      <c r="J102" s="253">
        <f>E102/Material!B16</f>
        <v>176.03305785123968</v>
      </c>
      <c r="K102" s="280">
        <f t="shared" si="22"/>
        <v>176.03305785123968</v>
      </c>
      <c r="L102" s="142">
        <f t="shared" si="28"/>
        <v>54.3</v>
      </c>
      <c r="M102" s="142">
        <f t="shared" si="29"/>
        <v>137.922</v>
      </c>
      <c r="N102" s="280">
        <f t="shared" si="23"/>
        <v>24278.831404958677</v>
      </c>
      <c r="O102" s="233">
        <v>-1.65</v>
      </c>
      <c r="P102" s="227">
        <f t="shared" si="24"/>
        <v>-4.1909999999999998</v>
      </c>
      <c r="Q102" s="280">
        <f t="shared" si="25"/>
        <v>-892.68299999999999</v>
      </c>
      <c r="R102" s="231">
        <f t="shared" si="26"/>
        <v>-737.75454545454545</v>
      </c>
      <c r="S102" s="129"/>
      <c r="T102" s="129"/>
      <c r="U102" s="126"/>
      <c r="V102" s="151"/>
      <c r="W102" s="126"/>
      <c r="X102" s="126"/>
      <c r="Y102" s="126"/>
      <c r="Z102" s="126"/>
      <c r="AA102" s="126"/>
    </row>
    <row r="103" spans="1:32" s="290" customFormat="1" ht="17.100000000000001" customHeight="1">
      <c r="A103" s="124"/>
      <c r="B103" s="311" t="s">
        <v>348</v>
      </c>
      <c r="C103" s="294">
        <v>56912</v>
      </c>
      <c r="D103" s="224">
        <v>1</v>
      </c>
      <c r="E103" s="230">
        <v>17.5</v>
      </c>
      <c r="F103" s="227">
        <f t="shared" si="20"/>
        <v>17.5</v>
      </c>
      <c r="G103" s="284">
        <v>54.3</v>
      </c>
      <c r="H103" s="227">
        <f t="shared" si="27"/>
        <v>137.922</v>
      </c>
      <c r="I103" s="280">
        <f t="shared" si="21"/>
        <v>2413.6349999999998</v>
      </c>
      <c r="J103" s="253">
        <f>F103/SS_Density</f>
        <v>2.1801420206802047</v>
      </c>
      <c r="K103" s="280">
        <f t="shared" si="22"/>
        <v>2.1801420206802047</v>
      </c>
      <c r="L103" s="142">
        <f t="shared" si="28"/>
        <v>54.3</v>
      </c>
      <c r="M103" s="142">
        <f t="shared" si="29"/>
        <v>137.922</v>
      </c>
      <c r="N103" s="280">
        <f t="shared" si="23"/>
        <v>300.68954777625521</v>
      </c>
      <c r="O103" s="233">
        <v>0</v>
      </c>
      <c r="P103" s="227">
        <f t="shared" si="24"/>
        <v>0</v>
      </c>
      <c r="Q103" s="280">
        <f t="shared" si="25"/>
        <v>0</v>
      </c>
      <c r="R103" s="231">
        <f t="shared" si="26"/>
        <v>0</v>
      </c>
      <c r="S103" s="129"/>
      <c r="T103" s="129"/>
      <c r="U103" s="126"/>
      <c r="V103" s="151"/>
      <c r="W103" s="126"/>
      <c r="X103" s="126"/>
      <c r="Y103" s="126"/>
      <c r="Z103" s="126"/>
      <c r="AA103" s="126"/>
    </row>
    <row r="104" spans="1:32" s="113" customFormat="1" ht="17.100000000000001" customHeight="1">
      <c r="A104" s="110"/>
      <c r="B104" s="149"/>
      <c r="C104" s="10"/>
      <c r="D104" s="333"/>
      <c r="E104" s="230"/>
      <c r="G104" s="334"/>
      <c r="H104" s="149"/>
      <c r="I104" s="115"/>
      <c r="J104" s="335"/>
      <c r="K104" s="115"/>
      <c r="L104" s="336"/>
      <c r="M104" s="149"/>
      <c r="N104" s="115"/>
      <c r="O104" s="337"/>
      <c r="P104" s="149"/>
      <c r="Q104" s="115"/>
      <c r="R104" s="149"/>
      <c r="S104" s="111"/>
      <c r="T104" s="111"/>
      <c r="U104" s="111"/>
      <c r="V104" s="148"/>
      <c r="W104" s="111"/>
      <c r="X104" s="111"/>
      <c r="Y104" s="111"/>
      <c r="Z104" s="111"/>
      <c r="AA104" s="111"/>
    </row>
    <row r="105" spans="1:32" s="147" customFormat="1" ht="17.100000000000001" customHeight="1">
      <c r="A105" s="120">
        <v>2</v>
      </c>
      <c r="B105" s="147" t="s">
        <v>349</v>
      </c>
      <c r="C105" s="120">
        <v>49841</v>
      </c>
      <c r="D105" s="206"/>
      <c r="E105" s="338"/>
      <c r="F105" s="149"/>
      <c r="G105" s="322"/>
      <c r="H105" s="217"/>
      <c r="I105" s="219"/>
      <c r="J105" s="323"/>
      <c r="K105" s="219"/>
      <c r="L105" s="324"/>
      <c r="M105" s="217"/>
      <c r="N105" s="219"/>
      <c r="O105" s="325"/>
      <c r="P105" s="217"/>
      <c r="Q105" s="219"/>
      <c r="R105" s="217"/>
      <c r="S105" s="218"/>
      <c r="T105" s="218"/>
      <c r="U105" s="218"/>
      <c r="V105" s="219"/>
      <c r="W105" s="218"/>
      <c r="X105" s="218"/>
      <c r="Y105" s="218"/>
      <c r="Z105" s="218"/>
      <c r="AA105" s="218"/>
    </row>
    <row r="106" spans="1:32" s="147" customFormat="1" ht="17.100000000000001" customHeight="1">
      <c r="A106" s="120"/>
      <c r="B106" s="6" t="s">
        <v>300</v>
      </c>
      <c r="C106" s="149">
        <f>SUM(F108:F109)</f>
        <v>473</v>
      </c>
      <c r="D106" s="220" t="s">
        <v>238</v>
      </c>
      <c r="E106" s="339" t="s">
        <v>245</v>
      </c>
      <c r="F106" s="149"/>
      <c r="G106" s="322"/>
      <c r="H106" s="217"/>
      <c r="J106" s="323"/>
      <c r="L106" s="324"/>
      <c r="M106" s="217"/>
      <c r="N106" s="219"/>
      <c r="O106" s="325"/>
      <c r="P106" s="217"/>
      <c r="Q106" s="219"/>
      <c r="R106" s="217"/>
      <c r="S106" s="218"/>
      <c r="T106" s="218"/>
      <c r="U106" s="218"/>
      <c r="V106" s="219"/>
      <c r="W106" s="218"/>
      <c r="X106" s="218"/>
      <c r="Y106" s="218"/>
      <c r="Z106" s="218"/>
      <c r="AA106" s="218"/>
    </row>
    <row r="107" spans="1:32" s="274" customFormat="1" ht="17.100000000000001" customHeight="1">
      <c r="A107" s="272"/>
      <c r="B107" s="153" t="s">
        <v>403</v>
      </c>
      <c r="C107" s="230">
        <f>E108</f>
        <v>473</v>
      </c>
      <c r="D107" s="220" t="s">
        <v>238</v>
      </c>
      <c r="E107" s="340">
        <f>C107-C106</f>
        <v>0</v>
      </c>
      <c r="I107" s="275"/>
      <c r="O107" s="276"/>
      <c r="S107"/>
      <c r="T107"/>
      <c r="U107"/>
      <c r="V107"/>
      <c r="W107"/>
      <c r="X107"/>
      <c r="Y107"/>
      <c r="Z107"/>
      <c r="AA107"/>
      <c r="AB107"/>
      <c r="AC107"/>
      <c r="AD107"/>
      <c r="AE107"/>
      <c r="AF107"/>
    </row>
    <row r="108" spans="1:32" s="290" customFormat="1" ht="40.5" customHeight="1">
      <c r="A108" s="124">
        <v>3</v>
      </c>
      <c r="B108" s="341" t="s">
        <v>350</v>
      </c>
      <c r="C108" s="342" t="s">
        <v>351</v>
      </c>
      <c r="D108" s="224">
        <v>1</v>
      </c>
      <c r="E108" s="230">
        <v>473</v>
      </c>
      <c r="F108" s="142">
        <f>E108*D108</f>
        <v>473</v>
      </c>
      <c r="G108" s="284">
        <v>81.305000000000007</v>
      </c>
      <c r="H108" s="284">
        <f>G108*2.54</f>
        <v>206.51470000000003</v>
      </c>
      <c r="I108" s="343">
        <f>F108*H108</f>
        <v>97681.453100000013</v>
      </c>
      <c r="J108" s="232">
        <v>355.5</v>
      </c>
      <c r="K108" s="343">
        <f>J108*D108</f>
        <v>355.5</v>
      </c>
      <c r="L108" s="284">
        <f>G108</f>
        <v>81.305000000000007</v>
      </c>
      <c r="M108" s="142">
        <f>L108*2.54</f>
        <v>206.51470000000003</v>
      </c>
      <c r="N108" s="343">
        <f>K108*M108</f>
        <v>73415.975850000017</v>
      </c>
      <c r="O108" s="233">
        <v>0</v>
      </c>
      <c r="P108" s="142">
        <f>O108*2.54</f>
        <v>0</v>
      </c>
      <c r="Q108" s="343">
        <f>F108*P108</f>
        <v>0</v>
      </c>
      <c r="R108" s="231">
        <f>K108*P108</f>
        <v>0</v>
      </c>
      <c r="S108" s="331"/>
      <c r="T108" s="332"/>
      <c r="U108" s="126"/>
      <c r="V108" s="151"/>
      <c r="W108" s="126"/>
      <c r="X108" s="126"/>
      <c r="Y108" s="126"/>
      <c r="Z108" s="126"/>
      <c r="AA108" s="126"/>
    </row>
    <row r="109" spans="1:32" s="272" customFormat="1" ht="17.100000000000001" customHeight="1">
      <c r="A109" s="124">
        <v>3</v>
      </c>
      <c r="B109" s="290" t="s">
        <v>352</v>
      </c>
      <c r="C109" s="124">
        <v>52481</v>
      </c>
      <c r="D109" s="224">
        <v>0</v>
      </c>
      <c r="E109" s="297" t="s">
        <v>353</v>
      </c>
      <c r="F109" s="231"/>
      <c r="G109" s="252"/>
      <c r="H109" s="231"/>
      <c r="I109" s="151"/>
      <c r="J109" s="253"/>
      <c r="K109" s="288"/>
      <c r="L109" s="254"/>
      <c r="M109" s="231"/>
      <c r="N109" s="151"/>
      <c r="O109" s="233"/>
      <c r="P109" s="231"/>
      <c r="Q109" s="151"/>
      <c r="R109" s="231"/>
      <c r="S109" s="344"/>
      <c r="T109" s="344"/>
      <c r="U109" s="344"/>
      <c r="V109" s="345"/>
      <c r="W109" s="344"/>
      <c r="X109" s="344"/>
      <c r="Y109" s="344"/>
      <c r="Z109" s="344"/>
      <c r="AA109" s="344"/>
    </row>
    <row r="110" spans="1:32" s="272" customFormat="1" ht="17.100000000000001" customHeight="1">
      <c r="A110" s="124"/>
      <c r="B110" s="290"/>
      <c r="C110" s="124"/>
      <c r="D110" s="224"/>
      <c r="E110" s="297"/>
      <c r="F110" s="231"/>
      <c r="G110" s="252"/>
      <c r="H110" s="231"/>
      <c r="I110" s="151"/>
      <c r="J110" s="253"/>
      <c r="K110" s="288"/>
      <c r="L110" s="254"/>
      <c r="M110" s="231"/>
      <c r="N110" s="151"/>
      <c r="O110" s="233"/>
      <c r="P110" s="231"/>
      <c r="Q110" s="151"/>
      <c r="R110" s="231"/>
      <c r="S110" s="344"/>
      <c r="T110" s="344"/>
      <c r="U110" s="344"/>
      <c r="V110" s="345"/>
      <c r="W110" s="344"/>
      <c r="X110" s="344"/>
      <c r="Y110" s="344"/>
      <c r="Z110" s="344"/>
      <c r="AA110" s="344"/>
    </row>
    <row r="111" spans="1:32" s="147" customFormat="1" ht="17.100000000000001" customHeight="1">
      <c r="A111" s="120">
        <v>2</v>
      </c>
      <c r="B111" s="147" t="s">
        <v>354</v>
      </c>
      <c r="C111" s="120">
        <v>49841</v>
      </c>
      <c r="D111" s="206"/>
      <c r="E111" s="338"/>
      <c r="F111" s="149"/>
      <c r="G111" s="322"/>
      <c r="H111" s="217"/>
      <c r="I111" s="219"/>
      <c r="J111" s="323"/>
      <c r="K111" s="219"/>
      <c r="L111" s="324"/>
      <c r="M111" s="217"/>
      <c r="N111" s="219"/>
      <c r="O111" s="325"/>
      <c r="P111" s="217"/>
      <c r="Q111" s="219"/>
      <c r="R111" s="217"/>
      <c r="S111" s="218"/>
      <c r="T111" s="218"/>
      <c r="U111" s="218"/>
      <c r="V111" s="219"/>
      <c r="W111" s="218"/>
      <c r="X111" s="218"/>
      <c r="Y111" s="218"/>
      <c r="Z111" s="218"/>
      <c r="AA111" s="218"/>
    </row>
    <row r="112" spans="1:32" s="147" customFormat="1" ht="17.100000000000001" customHeight="1">
      <c r="A112" s="120"/>
      <c r="B112" s="6" t="s">
        <v>300</v>
      </c>
      <c r="C112" s="149">
        <f>SUM(F114)</f>
        <v>0</v>
      </c>
      <c r="D112" s="220" t="s">
        <v>238</v>
      </c>
      <c r="E112" s="339" t="s">
        <v>245</v>
      </c>
      <c r="F112" s="149"/>
      <c r="G112" s="322"/>
      <c r="H112" s="217"/>
      <c r="J112" s="323"/>
      <c r="L112" s="324"/>
      <c r="M112" s="217"/>
      <c r="N112" s="219"/>
      <c r="O112" s="325"/>
      <c r="P112" s="217"/>
      <c r="Q112" s="219"/>
      <c r="R112" s="217"/>
      <c r="S112" s="218"/>
      <c r="T112" s="218"/>
      <c r="U112" s="218"/>
      <c r="V112" s="219"/>
      <c r="W112" s="218"/>
      <c r="X112" s="218"/>
      <c r="Y112" s="218"/>
      <c r="Z112" s="218"/>
      <c r="AA112" s="218"/>
    </row>
    <row r="113" spans="1:32" s="274" customFormat="1" ht="17.100000000000001" customHeight="1">
      <c r="A113" s="272"/>
      <c r="B113" s="153" t="s">
        <v>403</v>
      </c>
      <c r="C113" s="230">
        <v>0</v>
      </c>
      <c r="D113" s="220" t="s">
        <v>238</v>
      </c>
      <c r="E113" s="340">
        <f>C113-C112</f>
        <v>0</v>
      </c>
      <c r="I113" s="275"/>
      <c r="O113" s="276"/>
      <c r="S113"/>
      <c r="T113"/>
      <c r="U113"/>
      <c r="V113"/>
      <c r="W113"/>
      <c r="X113"/>
      <c r="Y113"/>
      <c r="Z113"/>
      <c r="AA113"/>
      <c r="AB113"/>
      <c r="AC113"/>
      <c r="AD113"/>
      <c r="AE113"/>
      <c r="AF113"/>
    </row>
    <row r="114" spans="1:32" s="257" customFormat="1" ht="17.100000000000001" customHeight="1">
      <c r="A114" s="124">
        <v>3</v>
      </c>
      <c r="B114" s="289" t="s">
        <v>355</v>
      </c>
      <c r="C114" s="346" t="s">
        <v>353</v>
      </c>
      <c r="D114" s="224">
        <v>1</v>
      </c>
      <c r="E114" s="230">
        <v>0</v>
      </c>
      <c r="F114" s="231">
        <f>E114*D114</f>
        <v>0</v>
      </c>
      <c r="G114" s="252">
        <v>56.37</v>
      </c>
      <c r="H114" s="231">
        <f>G114*2.54</f>
        <v>143.1798</v>
      </c>
      <c r="I114" s="151">
        <f>F114*H114</f>
        <v>0</v>
      </c>
      <c r="J114" s="253">
        <v>0</v>
      </c>
      <c r="K114" s="151">
        <f>J114*D114</f>
        <v>0</v>
      </c>
      <c r="L114" s="231">
        <f>G114</f>
        <v>56.37</v>
      </c>
      <c r="M114" s="231">
        <f>L114*2.54</f>
        <v>143.1798</v>
      </c>
      <c r="N114" s="151">
        <f>K114*M114</f>
        <v>0</v>
      </c>
      <c r="O114" s="233">
        <v>2.5</v>
      </c>
      <c r="P114" s="231">
        <f>O114*2.54</f>
        <v>6.35</v>
      </c>
      <c r="Q114" s="151">
        <f>F114*P114</f>
        <v>0</v>
      </c>
      <c r="R114" s="231">
        <f>K114*P114</f>
        <v>0</v>
      </c>
      <c r="S114" s="255"/>
      <c r="T114" s="255"/>
      <c r="U114" s="255"/>
      <c r="V114" s="256"/>
      <c r="W114" s="255"/>
      <c r="X114" s="255"/>
      <c r="Y114" s="255"/>
      <c r="Z114" s="255"/>
      <c r="AA114" s="255"/>
    </row>
    <row r="115" spans="1:32" s="272" customFormat="1" ht="17.100000000000001" customHeight="1">
      <c r="A115" s="124"/>
      <c r="B115" s="290"/>
      <c r="C115" s="124"/>
      <c r="D115" s="224"/>
      <c r="E115" s="297"/>
      <c r="F115" s="231"/>
      <c r="G115" s="252"/>
      <c r="H115" s="231"/>
      <c r="I115" s="151"/>
      <c r="J115" s="253"/>
      <c r="K115" s="288"/>
      <c r="L115" s="254"/>
      <c r="M115" s="231"/>
      <c r="N115" s="151"/>
      <c r="O115" s="233"/>
      <c r="P115" s="231"/>
      <c r="Q115" s="151"/>
      <c r="R115" s="231"/>
      <c r="S115" s="344"/>
      <c r="T115" s="344"/>
      <c r="U115" s="344"/>
      <c r="V115" s="345"/>
      <c r="W115" s="344"/>
      <c r="X115" s="344"/>
      <c r="Y115" s="344"/>
      <c r="Z115" s="344"/>
      <c r="AA115" s="344"/>
    </row>
    <row r="116" spans="1:32" s="147" customFormat="1" ht="17.100000000000001" customHeight="1">
      <c r="A116" s="120">
        <v>2</v>
      </c>
      <c r="B116" s="147" t="s">
        <v>356</v>
      </c>
      <c r="C116" s="120"/>
      <c r="D116" s="206"/>
      <c r="E116" s="338"/>
      <c r="F116" s="149"/>
      <c r="G116" s="322"/>
      <c r="H116" s="217"/>
      <c r="I116" s="219"/>
      <c r="J116" s="323"/>
      <c r="K116" s="219"/>
      <c r="L116" s="324"/>
      <c r="M116" s="217"/>
      <c r="N116" s="219"/>
      <c r="O116" s="325"/>
      <c r="P116" s="217"/>
      <c r="Q116" s="219"/>
      <c r="R116" s="217"/>
      <c r="S116" s="218"/>
      <c r="T116" s="218"/>
      <c r="U116" s="218"/>
      <c r="V116" s="219"/>
      <c r="W116" s="218"/>
      <c r="X116" s="218"/>
      <c r="Y116" s="218"/>
      <c r="Z116" s="218"/>
      <c r="AA116" s="218"/>
    </row>
    <row r="117" spans="1:32" s="147" customFormat="1" ht="17.100000000000001" customHeight="1">
      <c r="A117" s="120"/>
      <c r="B117" s="6" t="s">
        <v>300</v>
      </c>
      <c r="C117" s="149">
        <f>SUM(F119)</f>
        <v>0</v>
      </c>
      <c r="D117" s="220" t="s">
        <v>238</v>
      </c>
      <c r="E117" s="339" t="s">
        <v>245</v>
      </c>
      <c r="F117" s="149"/>
      <c r="G117" s="322"/>
      <c r="H117" s="217"/>
      <c r="J117" s="323"/>
      <c r="L117" s="324"/>
      <c r="M117" s="217"/>
      <c r="N117" s="219"/>
      <c r="O117" s="325"/>
      <c r="P117" s="217"/>
      <c r="Q117" s="219"/>
      <c r="R117" s="217"/>
      <c r="S117" s="218"/>
      <c r="T117" s="218"/>
      <c r="U117" s="218"/>
      <c r="V117" s="219"/>
      <c r="W117" s="218"/>
      <c r="X117" s="218"/>
      <c r="Y117" s="218"/>
      <c r="Z117" s="218"/>
      <c r="AA117" s="218"/>
    </row>
    <row r="118" spans="1:32" s="274" customFormat="1" ht="17.100000000000001" customHeight="1">
      <c r="A118" s="272"/>
      <c r="B118" s="153" t="s">
        <v>403</v>
      </c>
      <c r="C118" s="230">
        <v>0</v>
      </c>
      <c r="D118" s="220" t="s">
        <v>238</v>
      </c>
      <c r="E118" s="340">
        <f>C118-C117</f>
        <v>0</v>
      </c>
      <c r="I118" s="275"/>
      <c r="O118" s="276"/>
      <c r="S118"/>
      <c r="T118"/>
      <c r="U118"/>
      <c r="V118"/>
      <c r="W118"/>
      <c r="X118"/>
      <c r="Y118"/>
      <c r="Z118"/>
      <c r="AA118"/>
      <c r="AB118"/>
      <c r="AC118"/>
      <c r="AD118"/>
      <c r="AE118"/>
      <c r="AF118"/>
    </row>
    <row r="119" spans="1:32" s="257" customFormat="1" ht="17.100000000000001" customHeight="1">
      <c r="A119" s="124">
        <v>3</v>
      </c>
      <c r="B119" s="289" t="s">
        <v>357</v>
      </c>
      <c r="C119" s="346" t="s">
        <v>353</v>
      </c>
      <c r="D119" s="224">
        <v>1</v>
      </c>
      <c r="E119" s="230">
        <v>0</v>
      </c>
      <c r="F119" s="231">
        <f>E119*D119</f>
        <v>0</v>
      </c>
      <c r="G119" s="252">
        <v>56.37</v>
      </c>
      <c r="H119" s="231">
        <f>G119*2.54</f>
        <v>143.1798</v>
      </c>
      <c r="I119" s="151">
        <f>F119*H119</f>
        <v>0</v>
      </c>
      <c r="J119" s="253">
        <v>0</v>
      </c>
      <c r="K119" s="151">
        <v>0</v>
      </c>
      <c r="L119" s="231">
        <f>G119</f>
        <v>56.37</v>
      </c>
      <c r="M119" s="231">
        <f>L119*2.54</f>
        <v>143.1798</v>
      </c>
      <c r="N119" s="151">
        <f>K119*M119</f>
        <v>0</v>
      </c>
      <c r="O119" s="233">
        <v>2.5</v>
      </c>
      <c r="P119" s="231">
        <f>O119*2.54</f>
        <v>6.35</v>
      </c>
      <c r="Q119" s="151">
        <f>F119*P119</f>
        <v>0</v>
      </c>
      <c r="R119" s="231">
        <f>K119*P119</f>
        <v>0</v>
      </c>
      <c r="S119" s="255"/>
      <c r="T119" s="255"/>
      <c r="U119" s="255"/>
      <c r="V119" s="256"/>
      <c r="W119" s="255"/>
      <c r="X119" s="255"/>
      <c r="Y119" s="255"/>
      <c r="Z119" s="255"/>
      <c r="AA119" s="255"/>
    </row>
    <row r="120" spans="1:32" s="272" customFormat="1" ht="17.100000000000001" customHeight="1">
      <c r="A120" s="124"/>
      <c r="B120" s="290"/>
      <c r="C120" s="124"/>
      <c r="D120" s="224"/>
      <c r="E120" s="297"/>
      <c r="F120" s="231"/>
      <c r="G120" s="252"/>
      <c r="H120" s="231"/>
      <c r="I120" s="151"/>
      <c r="J120" s="253"/>
      <c r="K120" s="288"/>
      <c r="L120" s="254"/>
      <c r="M120" s="231"/>
      <c r="N120" s="151"/>
      <c r="O120" s="233"/>
      <c r="P120" s="231"/>
      <c r="Q120" s="151"/>
      <c r="R120" s="231"/>
      <c r="S120" s="344"/>
      <c r="T120" s="344"/>
      <c r="U120" s="344"/>
      <c r="V120" s="345"/>
      <c r="W120" s="344"/>
      <c r="X120" s="344"/>
      <c r="Y120" s="344"/>
      <c r="Z120" s="344"/>
      <c r="AA120" s="344"/>
    </row>
    <row r="121" spans="1:32" s="272" customFormat="1" ht="17.100000000000001" customHeight="1">
      <c r="A121" s="272">
        <v>2</v>
      </c>
      <c r="B121" s="274" t="s">
        <v>358</v>
      </c>
      <c r="C121" s="272">
        <v>55841</v>
      </c>
      <c r="D121" s="224"/>
      <c r="E121" s="297"/>
      <c r="F121" s="231"/>
      <c r="G121" s="252"/>
      <c r="H121" s="231"/>
      <c r="I121" s="151"/>
      <c r="J121" s="253"/>
      <c r="K121" s="288"/>
      <c r="L121" s="254"/>
      <c r="M121" s="231"/>
      <c r="N121" s="151"/>
      <c r="O121" s="233"/>
      <c r="P121" s="231"/>
      <c r="Q121" s="151"/>
      <c r="R121" s="231"/>
      <c r="S121" s="344"/>
      <c r="T121" s="344"/>
      <c r="U121" s="344"/>
      <c r="V121" s="345"/>
      <c r="W121" s="344"/>
      <c r="X121" s="344"/>
      <c r="Y121" s="344"/>
      <c r="Z121" s="344"/>
      <c r="AA121" s="344"/>
    </row>
    <row r="122" spans="1:32" s="147" customFormat="1" ht="17.100000000000001" customHeight="1">
      <c r="A122" s="120"/>
      <c r="B122" s="6" t="s">
        <v>300</v>
      </c>
      <c r="C122" s="149">
        <f>SUM(F124:F124)</f>
        <v>0</v>
      </c>
      <c r="D122" s="220" t="s">
        <v>238</v>
      </c>
      <c r="E122" s="339" t="s">
        <v>245</v>
      </c>
      <c r="F122" s="149"/>
      <c r="G122" s="322"/>
      <c r="H122" s="217"/>
      <c r="J122" s="323"/>
      <c r="L122" s="324"/>
      <c r="M122" s="217"/>
      <c r="N122" s="219"/>
      <c r="O122" s="325"/>
      <c r="P122" s="217"/>
      <c r="Q122" s="219"/>
      <c r="R122" s="217"/>
      <c r="S122" s="218"/>
      <c r="T122" s="218"/>
      <c r="U122" s="218"/>
      <c r="V122" s="219"/>
      <c r="W122" s="218"/>
      <c r="X122" s="218"/>
      <c r="Y122" s="218"/>
      <c r="Z122" s="218"/>
      <c r="AA122" s="218"/>
    </row>
    <row r="123" spans="1:32" s="274" customFormat="1" ht="17.100000000000001" customHeight="1">
      <c r="A123" s="272"/>
      <c r="B123" s="153" t="s">
        <v>403</v>
      </c>
      <c r="C123" s="230">
        <f>D124*E124</f>
        <v>0</v>
      </c>
      <c r="D123" s="220" t="s">
        <v>238</v>
      </c>
      <c r="E123" s="340">
        <f>C123-C122</f>
        <v>0</v>
      </c>
      <c r="I123" s="275"/>
      <c r="O123" s="276"/>
      <c r="S123"/>
      <c r="T123"/>
      <c r="U123"/>
      <c r="V123"/>
      <c r="W123"/>
      <c r="X123"/>
      <c r="Y123"/>
      <c r="Z123"/>
      <c r="AA123"/>
      <c r="AB123"/>
      <c r="AC123"/>
      <c r="AD123"/>
      <c r="AE123"/>
      <c r="AF123"/>
    </row>
    <row r="124" spans="1:32" s="257" customFormat="1" ht="40.5" customHeight="1">
      <c r="A124" s="124">
        <v>3</v>
      </c>
      <c r="B124" s="289" t="s">
        <v>359</v>
      </c>
      <c r="C124" s="346" t="s">
        <v>360</v>
      </c>
      <c r="D124" s="224">
        <v>0</v>
      </c>
      <c r="E124" s="230">
        <v>0</v>
      </c>
      <c r="F124" s="231">
        <f>E124*D124</f>
        <v>0</v>
      </c>
      <c r="G124" s="252">
        <v>56.37</v>
      </c>
      <c r="H124" s="231">
        <f>G124*2.54</f>
        <v>143.1798</v>
      </c>
      <c r="I124" s="151">
        <f>F124*H124</f>
        <v>0</v>
      </c>
      <c r="J124" s="253">
        <v>105.22</v>
      </c>
      <c r="K124" s="151">
        <f>J124*D124</f>
        <v>0</v>
      </c>
      <c r="L124" s="231">
        <f>G124</f>
        <v>56.37</v>
      </c>
      <c r="M124" s="231">
        <f>L124*2.54</f>
        <v>143.1798</v>
      </c>
      <c r="N124" s="151">
        <f>K124*M124</f>
        <v>0</v>
      </c>
      <c r="O124" s="233">
        <v>2.5</v>
      </c>
      <c r="P124" s="231">
        <f>O124*2.54</f>
        <v>6.35</v>
      </c>
      <c r="Q124" s="151">
        <f>F124*P124</f>
        <v>0</v>
      </c>
      <c r="R124" s="231">
        <f>K124*P124</f>
        <v>0</v>
      </c>
      <c r="S124" s="255"/>
      <c r="T124" s="255"/>
      <c r="U124" s="255"/>
      <c r="V124" s="256"/>
      <c r="W124" s="255"/>
      <c r="X124" s="255"/>
      <c r="Y124" s="255"/>
      <c r="Z124" s="255"/>
      <c r="AA124" s="255"/>
    </row>
    <row r="125" spans="1:32" s="257" customFormat="1" ht="16.5" customHeight="1">
      <c r="A125" s="124"/>
      <c r="B125" s="290"/>
      <c r="C125" s="251"/>
      <c r="D125" s="224"/>
      <c r="E125" s="230"/>
      <c r="F125" s="231"/>
      <c r="G125" s="252"/>
      <c r="H125" s="231"/>
      <c r="I125" s="151"/>
      <c r="J125" s="253"/>
      <c r="K125" s="151"/>
      <c r="L125" s="231"/>
      <c r="M125" s="231"/>
      <c r="N125" s="151"/>
      <c r="O125" s="233"/>
      <c r="P125" s="231"/>
      <c r="Q125" s="151"/>
      <c r="R125" s="231"/>
      <c r="S125" s="255"/>
      <c r="T125" s="255"/>
      <c r="U125" s="255"/>
      <c r="V125" s="256"/>
      <c r="W125" s="255"/>
      <c r="X125" s="255"/>
      <c r="Y125" s="255"/>
      <c r="Z125" s="255"/>
      <c r="AA125" s="255"/>
    </row>
    <row r="126" spans="1:32" s="272" customFormat="1" ht="17.100000000000001" customHeight="1">
      <c r="A126" s="272">
        <v>2</v>
      </c>
      <c r="B126" s="274" t="s">
        <v>361</v>
      </c>
      <c r="C126" s="272">
        <v>55482</v>
      </c>
      <c r="D126" s="224"/>
      <c r="E126" s="297"/>
      <c r="F126" s="231"/>
      <c r="G126" s="252"/>
      <c r="H126" s="231"/>
      <c r="I126" s="151"/>
      <c r="J126" s="253"/>
      <c r="K126" s="288"/>
      <c r="L126" s="254"/>
      <c r="M126" s="231"/>
      <c r="N126" s="151"/>
      <c r="O126" s="233"/>
      <c r="P126" s="231"/>
      <c r="Q126" s="151"/>
      <c r="R126" s="231"/>
      <c r="S126" s="344"/>
      <c r="T126" s="344"/>
      <c r="U126" s="344"/>
      <c r="V126" s="345"/>
      <c r="W126" s="344"/>
      <c r="X126" s="344"/>
      <c r="Y126" s="344"/>
      <c r="Z126" s="344"/>
      <c r="AA126" s="344"/>
    </row>
    <row r="127" spans="1:32" s="147" customFormat="1" ht="17.100000000000001" customHeight="1">
      <c r="A127" s="120"/>
      <c r="B127" s="6" t="s">
        <v>300</v>
      </c>
      <c r="C127" s="149">
        <f>SUM(F129:F131)</f>
        <v>369</v>
      </c>
      <c r="D127" s="220" t="s">
        <v>238</v>
      </c>
      <c r="E127" s="339" t="s">
        <v>245</v>
      </c>
      <c r="F127" s="149"/>
      <c r="G127" s="322"/>
      <c r="H127" s="217"/>
      <c r="J127" s="323"/>
      <c r="L127" s="324"/>
      <c r="M127" s="217"/>
      <c r="N127" s="219"/>
      <c r="O127" s="325"/>
      <c r="P127" s="217"/>
      <c r="Q127" s="219"/>
      <c r="R127" s="217"/>
      <c r="S127" s="218"/>
      <c r="T127" s="218"/>
      <c r="U127" s="218"/>
      <c r="V127" s="219"/>
      <c r="W127" s="218"/>
      <c r="X127" s="218"/>
      <c r="Y127" s="218"/>
      <c r="Z127" s="218"/>
      <c r="AA127" s="218"/>
    </row>
    <row r="128" spans="1:32" s="274" customFormat="1" ht="17.100000000000001" customHeight="1">
      <c r="A128" s="272"/>
      <c r="B128" s="153" t="s">
        <v>403</v>
      </c>
      <c r="C128" s="230">
        <v>369</v>
      </c>
      <c r="D128" s="220" t="s">
        <v>238</v>
      </c>
      <c r="E128" s="340">
        <f>C128-C127</f>
        <v>0</v>
      </c>
      <c r="I128" s="275"/>
      <c r="O128" s="276"/>
      <c r="S128"/>
      <c r="T128"/>
      <c r="U128"/>
      <c r="V128"/>
      <c r="W128"/>
      <c r="X128"/>
      <c r="Y128"/>
      <c r="Z128"/>
      <c r="AA128"/>
      <c r="AB128"/>
      <c r="AC128"/>
      <c r="AD128"/>
      <c r="AE128"/>
      <c r="AF128"/>
    </row>
    <row r="129" spans="1:32" s="257" customFormat="1" ht="49.5" customHeight="1">
      <c r="A129" s="124">
        <v>3</v>
      </c>
      <c r="B129" s="289" t="s">
        <v>362</v>
      </c>
      <c r="C129" s="346" t="s">
        <v>363</v>
      </c>
      <c r="D129" s="224">
        <v>1</v>
      </c>
      <c r="E129" s="230">
        <v>323</v>
      </c>
      <c r="F129" s="231">
        <f>E129*D129</f>
        <v>323</v>
      </c>
      <c r="G129" s="252">
        <v>56.37</v>
      </c>
      <c r="H129" s="231">
        <f>G129*2.54</f>
        <v>143.1798</v>
      </c>
      <c r="I129" s="151">
        <f>F129*H129</f>
        <v>46247.075400000002</v>
      </c>
      <c r="J129" s="253">
        <v>164.7</v>
      </c>
      <c r="K129" s="151">
        <f>J129*D129</f>
        <v>164.7</v>
      </c>
      <c r="L129" s="231">
        <f>G129</f>
        <v>56.37</v>
      </c>
      <c r="M129" s="231">
        <f>L129*2.54</f>
        <v>143.1798</v>
      </c>
      <c r="N129" s="151">
        <f>K129*M129</f>
        <v>23581.713059999998</v>
      </c>
      <c r="O129" s="233">
        <v>2.5</v>
      </c>
      <c r="P129" s="231">
        <f>O129*2.54</f>
        <v>6.35</v>
      </c>
      <c r="Q129" s="151">
        <f>F129*P129</f>
        <v>2051.0499999999997</v>
      </c>
      <c r="R129" s="231">
        <f>K129*P129</f>
        <v>1045.8449999999998</v>
      </c>
      <c r="S129" s="255"/>
      <c r="T129" s="255"/>
      <c r="U129" s="255"/>
      <c r="V129" s="256"/>
      <c r="W129" s="255"/>
      <c r="X129" s="255"/>
      <c r="Y129" s="255"/>
      <c r="Z129" s="255"/>
      <c r="AA129" s="255"/>
    </row>
    <row r="130" spans="1:32" s="257" customFormat="1" ht="17.100000000000001" customHeight="1">
      <c r="A130" s="124">
        <v>3</v>
      </c>
      <c r="B130" s="290" t="s">
        <v>258</v>
      </c>
      <c r="C130" s="251">
        <v>52236</v>
      </c>
      <c r="D130" s="224">
        <v>1</v>
      </c>
      <c r="E130" s="230">
        <v>46</v>
      </c>
      <c r="F130" s="231">
        <f>E130*D130</f>
        <v>46</v>
      </c>
      <c r="G130" s="252">
        <v>50</v>
      </c>
      <c r="H130" s="231">
        <f>G130*2.54</f>
        <v>127</v>
      </c>
      <c r="I130" s="151">
        <f>F130*H130</f>
        <v>5842</v>
      </c>
      <c r="J130" s="253">
        <v>29</v>
      </c>
      <c r="K130" s="151">
        <f>J130*D130</f>
        <v>29</v>
      </c>
      <c r="L130" s="231">
        <f>G130</f>
        <v>50</v>
      </c>
      <c r="M130" s="231">
        <f>L130*2.54</f>
        <v>127</v>
      </c>
      <c r="N130" s="151">
        <f>K130*M130</f>
        <v>3683</v>
      </c>
      <c r="O130" s="233">
        <v>2</v>
      </c>
      <c r="P130" s="231">
        <f>O130*2.54</f>
        <v>5.08</v>
      </c>
      <c r="Q130" s="151">
        <f>F130*P130</f>
        <v>233.68</v>
      </c>
      <c r="R130" s="231">
        <f>K130*P130</f>
        <v>147.32</v>
      </c>
      <c r="S130" s="255"/>
      <c r="T130" s="255"/>
      <c r="U130" s="255"/>
      <c r="V130" s="256"/>
      <c r="W130" s="255"/>
      <c r="X130" s="255"/>
      <c r="Y130" s="255"/>
      <c r="Z130" s="255"/>
      <c r="AA130" s="255"/>
    </row>
    <row r="131" spans="1:32" s="272" customFormat="1" ht="17.100000000000001" customHeight="1">
      <c r="A131" s="124">
        <v>3</v>
      </c>
      <c r="B131" s="290" t="s">
        <v>259</v>
      </c>
      <c r="C131" s="124">
        <v>55518</v>
      </c>
      <c r="D131" s="224">
        <v>0</v>
      </c>
      <c r="E131" s="297" t="s">
        <v>353</v>
      </c>
      <c r="F131" s="231"/>
      <c r="G131" s="252"/>
      <c r="H131" s="231"/>
      <c r="I131" s="151"/>
      <c r="J131" s="253"/>
      <c r="K131" s="288"/>
      <c r="L131" s="254"/>
      <c r="M131" s="231"/>
      <c r="N131" s="151"/>
      <c r="O131" s="233"/>
      <c r="P131" s="231"/>
      <c r="Q131" s="151"/>
      <c r="R131" s="231"/>
      <c r="S131" s="344"/>
      <c r="T131" s="344"/>
      <c r="U131" s="344"/>
      <c r="V131" s="345"/>
      <c r="W131" s="344"/>
      <c r="X131" s="344"/>
      <c r="Y131" s="344"/>
      <c r="Z131" s="344"/>
      <c r="AA131" s="344"/>
    </row>
    <row r="132" spans="1:32" s="272" customFormat="1" ht="17.100000000000001" customHeight="1">
      <c r="B132" s="290"/>
      <c r="C132" s="124"/>
      <c r="D132" s="224"/>
      <c r="E132" s="297"/>
      <c r="F132" s="231"/>
      <c r="G132" s="252"/>
      <c r="H132" s="231"/>
      <c r="I132" s="151"/>
      <c r="J132" s="253"/>
      <c r="K132" s="288"/>
      <c r="L132" s="254"/>
      <c r="M132" s="231"/>
      <c r="N132" s="151"/>
      <c r="O132" s="233"/>
      <c r="P132" s="231"/>
      <c r="Q132" s="151"/>
      <c r="R132" s="231"/>
      <c r="S132" s="344"/>
      <c r="T132" s="344"/>
      <c r="U132" s="344"/>
      <c r="V132" s="345"/>
      <c r="W132" s="344"/>
      <c r="X132" s="344"/>
      <c r="Y132" s="344"/>
      <c r="Z132" s="344"/>
      <c r="AA132" s="344"/>
    </row>
    <row r="133" spans="1:32" s="272" customFormat="1" ht="17.100000000000001" customHeight="1">
      <c r="A133" s="272">
        <v>2</v>
      </c>
      <c r="B133" s="274" t="s">
        <v>260</v>
      </c>
      <c r="C133" s="272" t="s">
        <v>171</v>
      </c>
      <c r="D133" s="224"/>
      <c r="E133" s="297"/>
      <c r="F133" s="231"/>
      <c r="G133" s="252"/>
      <c r="H133" s="231"/>
      <c r="I133" s="151"/>
      <c r="J133" s="253"/>
      <c r="K133" s="288"/>
      <c r="L133" s="254"/>
      <c r="M133" s="231"/>
      <c r="N133" s="151"/>
      <c r="O133" s="233"/>
      <c r="P133" s="231"/>
      <c r="Q133" s="151"/>
      <c r="R133" s="231"/>
      <c r="S133" s="344"/>
      <c r="T133" s="344"/>
      <c r="U133" s="344"/>
      <c r="V133" s="345"/>
      <c r="W133" s="344"/>
      <c r="X133" s="344"/>
      <c r="Y133" s="344"/>
      <c r="Z133" s="344"/>
      <c r="AA133" s="344"/>
    </row>
    <row r="134" spans="1:32" s="147" customFormat="1" ht="17.100000000000001" customHeight="1">
      <c r="A134" s="120"/>
      <c r="B134" s="6" t="s">
        <v>300</v>
      </c>
      <c r="C134" s="149">
        <f>SUM(E136)</f>
        <v>0</v>
      </c>
      <c r="D134" s="220" t="s">
        <v>238</v>
      </c>
      <c r="E134" s="339" t="s">
        <v>245</v>
      </c>
      <c r="F134" s="149"/>
      <c r="G134" s="322"/>
      <c r="H134" s="217"/>
      <c r="J134" s="323"/>
      <c r="L134" s="324"/>
      <c r="M134" s="217"/>
      <c r="N134" s="219"/>
      <c r="O134" s="325"/>
      <c r="P134" s="217"/>
      <c r="Q134" s="219"/>
      <c r="R134" s="217"/>
      <c r="S134" s="218"/>
      <c r="T134" s="218"/>
      <c r="U134" s="218"/>
      <c r="V134" s="219"/>
      <c r="W134" s="218"/>
      <c r="X134" s="218"/>
      <c r="Y134" s="218"/>
      <c r="Z134" s="218"/>
      <c r="AA134" s="218"/>
    </row>
    <row r="135" spans="1:32" s="274" customFormat="1" ht="17.100000000000001" customHeight="1">
      <c r="A135" s="272"/>
      <c r="B135" s="153" t="s">
        <v>403</v>
      </c>
      <c r="C135" s="230">
        <v>0</v>
      </c>
      <c r="D135" s="220" t="s">
        <v>238</v>
      </c>
      <c r="E135" s="340">
        <f>C135-C134</f>
        <v>0</v>
      </c>
      <c r="I135" s="275"/>
      <c r="O135" s="276"/>
      <c r="S135"/>
      <c r="T135"/>
      <c r="U135"/>
      <c r="V135"/>
      <c r="W135"/>
      <c r="X135"/>
      <c r="Y135"/>
      <c r="Z135"/>
      <c r="AA135"/>
      <c r="AB135"/>
      <c r="AC135"/>
      <c r="AD135"/>
      <c r="AE135"/>
      <c r="AF135"/>
    </row>
    <row r="136" spans="1:32" s="257" customFormat="1" ht="32.25" customHeight="1">
      <c r="A136" s="124">
        <v>3</v>
      </c>
      <c r="B136" s="289" t="s">
        <v>261</v>
      </c>
      <c r="C136" s="347" t="s">
        <v>171</v>
      </c>
      <c r="D136" s="224">
        <v>0</v>
      </c>
      <c r="E136" s="230">
        <v>0</v>
      </c>
      <c r="F136" s="231">
        <f>E136*D136</f>
        <v>0</v>
      </c>
      <c r="G136" s="252">
        <v>60.3</v>
      </c>
      <c r="H136" s="231">
        <f>G136*2.54</f>
        <v>153.16200000000001</v>
      </c>
      <c r="I136" s="151">
        <f>F136*H136</f>
        <v>0</v>
      </c>
      <c r="J136" s="253">
        <v>0</v>
      </c>
      <c r="K136" s="151">
        <f>J136*D136</f>
        <v>0</v>
      </c>
      <c r="L136" s="231">
        <f>G136</f>
        <v>60.3</v>
      </c>
      <c r="M136" s="231">
        <f>L136*2.54</f>
        <v>153.16200000000001</v>
      </c>
      <c r="N136" s="151">
        <f>K136*M136</f>
        <v>0</v>
      </c>
      <c r="O136" s="233">
        <v>1.4</v>
      </c>
      <c r="P136" s="231">
        <f>O136*2.54</f>
        <v>3.5559999999999996</v>
      </c>
      <c r="Q136" s="151">
        <f>F136*P136</f>
        <v>0</v>
      </c>
      <c r="R136" s="231">
        <f>K136*P136</f>
        <v>0</v>
      </c>
      <c r="S136" s="255"/>
      <c r="T136" s="255"/>
      <c r="U136" s="255"/>
      <c r="V136" s="256"/>
      <c r="W136" s="255"/>
      <c r="X136" s="255"/>
      <c r="Y136" s="255"/>
      <c r="Z136" s="255"/>
      <c r="AA136" s="255"/>
    </row>
    <row r="137" spans="1:32" s="257" customFormat="1" ht="17.100000000000001" customHeight="1">
      <c r="A137" s="124"/>
      <c r="B137" s="289"/>
      <c r="C137" s="347"/>
      <c r="D137" s="224"/>
      <c r="E137" s="230"/>
      <c r="F137" s="231"/>
      <c r="G137" s="252"/>
      <c r="H137" s="231"/>
      <c r="I137" s="151"/>
      <c r="J137" s="253"/>
      <c r="K137" s="151"/>
      <c r="L137" s="231"/>
      <c r="M137" s="231"/>
      <c r="N137" s="151"/>
      <c r="O137" s="233"/>
      <c r="P137" s="231"/>
      <c r="Q137" s="151"/>
      <c r="R137" s="231"/>
      <c r="S137" s="255"/>
      <c r="T137" s="255"/>
      <c r="U137" s="255"/>
      <c r="V137" s="256"/>
      <c r="W137" s="255"/>
      <c r="X137" s="255"/>
      <c r="Y137" s="255"/>
      <c r="Z137" s="255"/>
      <c r="AA137" s="255"/>
    </row>
    <row r="138" spans="1:32" s="272" customFormat="1" ht="17.100000000000001" customHeight="1">
      <c r="A138" s="272">
        <v>2</v>
      </c>
      <c r="B138" s="274" t="s">
        <v>262</v>
      </c>
      <c r="C138" s="272">
        <v>55521</v>
      </c>
      <c r="D138" s="224"/>
      <c r="E138" s="297"/>
      <c r="F138" s="231"/>
      <c r="G138" s="252"/>
      <c r="H138" s="231"/>
      <c r="I138" s="151"/>
      <c r="J138" s="253"/>
      <c r="K138" s="288"/>
      <c r="L138" s="254"/>
      <c r="M138" s="231"/>
      <c r="N138" s="151"/>
      <c r="O138" s="233"/>
      <c r="P138" s="231"/>
      <c r="Q138" s="151"/>
      <c r="R138" s="231"/>
      <c r="S138" s="344"/>
      <c r="T138" s="344"/>
      <c r="U138" s="344"/>
      <c r="V138" s="345"/>
      <c r="W138" s="344"/>
      <c r="X138" s="344"/>
      <c r="Y138" s="344"/>
      <c r="Z138" s="344"/>
      <c r="AA138" s="344"/>
    </row>
    <row r="139" spans="1:32" s="147" customFormat="1" ht="17.100000000000001" customHeight="1">
      <c r="A139" s="120"/>
      <c r="B139" s="6" t="s">
        <v>300</v>
      </c>
      <c r="C139" s="149">
        <f>SUM(E141)</f>
        <v>0</v>
      </c>
      <c r="D139" s="220" t="s">
        <v>238</v>
      </c>
      <c r="E139" s="339" t="s">
        <v>245</v>
      </c>
      <c r="F139" s="149"/>
      <c r="G139" s="322"/>
      <c r="H139" s="217"/>
      <c r="J139" s="323"/>
      <c r="L139" s="324"/>
      <c r="M139" s="217"/>
      <c r="N139" s="219"/>
      <c r="O139" s="325"/>
      <c r="P139" s="217"/>
      <c r="Q139" s="219"/>
      <c r="R139" s="217"/>
      <c r="S139" s="218"/>
      <c r="T139" s="218"/>
      <c r="U139" s="218"/>
      <c r="V139" s="219"/>
      <c r="W139" s="218"/>
      <c r="X139" s="218"/>
      <c r="Y139" s="218"/>
      <c r="Z139" s="218"/>
      <c r="AA139" s="218"/>
    </row>
    <row r="140" spans="1:32" s="274" customFormat="1" ht="17.100000000000001" customHeight="1">
      <c r="A140" s="272"/>
      <c r="B140" s="153" t="s">
        <v>403</v>
      </c>
      <c r="C140" s="230">
        <v>0</v>
      </c>
      <c r="D140" s="220" t="s">
        <v>238</v>
      </c>
      <c r="E140" s="340">
        <f>C140-C139</f>
        <v>0</v>
      </c>
      <c r="I140" s="275"/>
      <c r="O140" s="276"/>
      <c r="S140"/>
      <c r="T140"/>
      <c r="U140"/>
      <c r="V140"/>
      <c r="W140"/>
      <c r="X140"/>
      <c r="Y140"/>
      <c r="Z140"/>
      <c r="AA140"/>
      <c r="AB140"/>
      <c r="AC140"/>
      <c r="AD140"/>
      <c r="AE140"/>
      <c r="AF140"/>
    </row>
    <row r="141" spans="1:32" s="257" customFormat="1" ht="32.25" customHeight="1">
      <c r="A141" s="124">
        <v>3</v>
      </c>
      <c r="B141" s="289" t="s">
        <v>263</v>
      </c>
      <c r="C141" s="347" t="s">
        <v>264</v>
      </c>
      <c r="D141" s="224">
        <v>0</v>
      </c>
      <c r="E141" s="230">
        <v>0</v>
      </c>
      <c r="F141" s="231">
        <f>SUM(E141*D141)</f>
        <v>0</v>
      </c>
      <c r="G141" s="252">
        <v>60.15</v>
      </c>
      <c r="H141" s="231">
        <f>G141*2.54</f>
        <v>152.78100000000001</v>
      </c>
      <c r="I141" s="151">
        <f>F141*H141</f>
        <v>0</v>
      </c>
      <c r="J141" s="253">
        <v>0</v>
      </c>
      <c r="K141" s="151">
        <f>J141*D141</f>
        <v>0</v>
      </c>
      <c r="L141" s="231">
        <f>G141</f>
        <v>60.15</v>
      </c>
      <c r="M141" s="231">
        <f>L141*2.54</f>
        <v>152.78100000000001</v>
      </c>
      <c r="N141" s="151">
        <f>K141*M141</f>
        <v>0</v>
      </c>
      <c r="O141" s="233">
        <v>-1.2370000000000001</v>
      </c>
      <c r="P141" s="231">
        <f>O141*2.54</f>
        <v>-3.1419800000000002</v>
      </c>
      <c r="Q141" s="151">
        <f>F141*P141</f>
        <v>0</v>
      </c>
      <c r="R141" s="231">
        <f>K141*P141</f>
        <v>0</v>
      </c>
      <c r="S141" s="255"/>
      <c r="T141" s="255"/>
      <c r="U141" s="255"/>
      <c r="V141" s="256"/>
      <c r="W141" s="255"/>
      <c r="X141" s="255"/>
      <c r="Y141" s="255"/>
      <c r="Z141" s="255"/>
      <c r="AA141" s="255"/>
    </row>
    <row r="142" spans="1:32" s="257" customFormat="1" ht="17.100000000000001" customHeight="1">
      <c r="A142" s="124">
        <v>3</v>
      </c>
      <c r="B142" s="289" t="s">
        <v>265</v>
      </c>
      <c r="C142" s="347" t="s">
        <v>266</v>
      </c>
      <c r="D142" s="224">
        <v>0</v>
      </c>
      <c r="E142" s="230" t="s">
        <v>353</v>
      </c>
      <c r="F142" s="231"/>
      <c r="G142" s="252"/>
      <c r="H142" s="231"/>
      <c r="I142" s="151"/>
      <c r="J142" s="253"/>
      <c r="K142" s="151"/>
      <c r="L142" s="231"/>
      <c r="M142" s="231"/>
      <c r="N142" s="151"/>
      <c r="O142" s="233"/>
      <c r="P142" s="231"/>
      <c r="Q142" s="151"/>
      <c r="R142" s="231"/>
      <c r="S142" s="255"/>
      <c r="T142" s="255"/>
      <c r="U142" s="255"/>
      <c r="V142" s="256"/>
      <c r="W142" s="255"/>
      <c r="X142" s="255"/>
      <c r="Y142" s="255"/>
      <c r="Z142" s="255"/>
      <c r="AA142" s="255"/>
    </row>
    <row r="143" spans="1:32" s="257" customFormat="1" ht="17.100000000000001" customHeight="1">
      <c r="A143" s="124"/>
      <c r="B143" s="289"/>
      <c r="C143" s="347"/>
      <c r="D143" s="224"/>
      <c r="E143" s="230"/>
      <c r="F143" s="231"/>
      <c r="G143" s="252"/>
      <c r="H143" s="231"/>
      <c r="I143" s="151"/>
      <c r="J143" s="253"/>
      <c r="K143" s="151"/>
      <c r="L143" s="231"/>
      <c r="M143" s="231"/>
      <c r="N143" s="151"/>
      <c r="O143" s="233"/>
      <c r="P143" s="231"/>
      <c r="Q143" s="151"/>
      <c r="R143" s="231"/>
      <c r="S143" s="255"/>
      <c r="T143" s="255"/>
      <c r="U143" s="255"/>
      <c r="V143" s="256"/>
      <c r="W143" s="255"/>
      <c r="X143" s="255"/>
      <c r="Y143" s="255"/>
      <c r="Z143" s="255"/>
      <c r="AA143" s="255"/>
    </row>
    <row r="144" spans="1:32" s="272" customFormat="1" ht="17.100000000000001" customHeight="1">
      <c r="A144" s="272">
        <v>2</v>
      </c>
      <c r="B144" s="274" t="s">
        <v>267</v>
      </c>
      <c r="C144" s="272">
        <v>55521</v>
      </c>
      <c r="D144" s="224"/>
      <c r="E144" s="297"/>
      <c r="F144" s="231"/>
      <c r="G144" s="252"/>
      <c r="H144" s="231"/>
      <c r="I144" s="151"/>
      <c r="J144" s="253"/>
      <c r="K144" s="288"/>
      <c r="L144" s="254"/>
      <c r="M144" s="231"/>
      <c r="N144" s="151"/>
      <c r="O144" s="233"/>
      <c r="P144" s="231"/>
      <c r="Q144" s="151"/>
      <c r="R144" s="231"/>
      <c r="S144" s="344"/>
      <c r="T144" s="344"/>
      <c r="U144" s="344"/>
      <c r="V144" s="345"/>
      <c r="W144" s="344"/>
      <c r="X144" s="344"/>
      <c r="Y144" s="344"/>
      <c r="Z144" s="344"/>
      <c r="AA144" s="344"/>
    </row>
    <row r="145" spans="1:32" s="147" customFormat="1" ht="17.100000000000001" customHeight="1">
      <c r="A145" s="120"/>
      <c r="B145" s="6" t="s">
        <v>300</v>
      </c>
      <c r="C145" s="149">
        <f>SUM(E147)</f>
        <v>240</v>
      </c>
      <c r="D145" s="220" t="s">
        <v>238</v>
      </c>
      <c r="E145" s="339" t="s">
        <v>245</v>
      </c>
      <c r="F145" s="149"/>
      <c r="G145" s="322"/>
      <c r="H145" s="217"/>
      <c r="J145" s="323"/>
      <c r="L145" s="324"/>
      <c r="M145" s="217"/>
      <c r="N145" s="219"/>
      <c r="O145" s="325"/>
      <c r="P145" s="217"/>
      <c r="Q145" s="219"/>
      <c r="R145" s="217"/>
      <c r="S145" s="218"/>
      <c r="T145" s="218"/>
      <c r="U145" s="218"/>
      <c r="V145" s="219"/>
      <c r="W145" s="218"/>
      <c r="X145" s="218"/>
      <c r="Y145" s="218"/>
      <c r="Z145" s="218"/>
      <c r="AA145" s="218"/>
    </row>
    <row r="146" spans="1:32" s="274" customFormat="1" ht="17.100000000000001" customHeight="1">
      <c r="A146" s="272"/>
      <c r="B146" s="153" t="s">
        <v>403</v>
      </c>
      <c r="C146" s="230">
        <f>E147</f>
        <v>240</v>
      </c>
      <c r="D146" s="220" t="s">
        <v>238</v>
      </c>
      <c r="E146" s="340">
        <f>C146-C145</f>
        <v>0</v>
      </c>
      <c r="I146" s="275"/>
      <c r="O146" s="276"/>
      <c r="S146"/>
      <c r="T146"/>
      <c r="U146"/>
      <c r="V146"/>
      <c r="W146"/>
      <c r="X146"/>
      <c r="Y146"/>
      <c r="Z146"/>
      <c r="AA146"/>
      <c r="AB146"/>
      <c r="AC146"/>
      <c r="AD146"/>
      <c r="AE146"/>
      <c r="AF146"/>
    </row>
    <row r="147" spans="1:32" s="257" customFormat="1" ht="32.25" customHeight="1">
      <c r="A147" s="124">
        <v>3</v>
      </c>
      <c r="B147" s="289" t="s">
        <v>377</v>
      </c>
      <c r="C147" s="347" t="s">
        <v>378</v>
      </c>
      <c r="D147" s="224">
        <v>1</v>
      </c>
      <c r="E147" s="230">
        <v>240</v>
      </c>
      <c r="F147" s="231">
        <f>SUM(E147*D147)</f>
        <v>240</v>
      </c>
      <c r="G147" s="252">
        <v>60.15</v>
      </c>
      <c r="H147" s="231">
        <f>G147*2.54</f>
        <v>152.78100000000001</v>
      </c>
      <c r="I147" s="151">
        <f>F147*H147</f>
        <v>36667.440000000002</v>
      </c>
      <c r="J147" s="253">
        <v>209.3</v>
      </c>
      <c r="K147" s="151">
        <f>J147*D147</f>
        <v>209.3</v>
      </c>
      <c r="L147" s="231">
        <f>G147</f>
        <v>60.15</v>
      </c>
      <c r="M147" s="231">
        <f>L147*2.54</f>
        <v>152.78100000000001</v>
      </c>
      <c r="N147" s="151">
        <f>K147*M147</f>
        <v>31977.063300000002</v>
      </c>
      <c r="O147" s="233">
        <v>-1.2370000000000001</v>
      </c>
      <c r="P147" s="231">
        <f>O147*2.54</f>
        <v>-3.1419800000000002</v>
      </c>
      <c r="Q147" s="151">
        <f>F147*P147</f>
        <v>-754.0752</v>
      </c>
      <c r="R147" s="231">
        <f>K147*P147</f>
        <v>-657.61641400000008</v>
      </c>
      <c r="S147" s="255"/>
      <c r="T147" s="255"/>
      <c r="U147" s="255"/>
      <c r="V147" s="256"/>
      <c r="W147" s="255"/>
      <c r="X147" s="255"/>
      <c r="Y147" s="255"/>
      <c r="Z147" s="255"/>
      <c r="AA147" s="255"/>
    </row>
    <row r="148" spans="1:32" s="257" customFormat="1" ht="17.100000000000001" customHeight="1">
      <c r="A148" s="124">
        <v>3</v>
      </c>
      <c r="B148" s="289" t="s">
        <v>265</v>
      </c>
      <c r="C148" s="347" t="s">
        <v>266</v>
      </c>
      <c r="D148" s="224">
        <v>0</v>
      </c>
      <c r="E148" s="230" t="s">
        <v>353</v>
      </c>
      <c r="F148" s="231"/>
      <c r="G148" s="252"/>
      <c r="H148" s="231"/>
      <c r="I148" s="151"/>
      <c r="J148" s="253"/>
      <c r="K148" s="151"/>
      <c r="L148" s="231"/>
      <c r="M148" s="231"/>
      <c r="N148" s="151"/>
      <c r="O148" s="233"/>
      <c r="P148" s="231"/>
      <c r="Q148" s="151"/>
      <c r="R148" s="231"/>
      <c r="S148" s="255"/>
      <c r="T148" s="255"/>
      <c r="U148" s="255"/>
      <c r="V148" s="256"/>
      <c r="W148" s="255"/>
      <c r="X148" s="255"/>
      <c r="Y148" s="255"/>
      <c r="Z148" s="255"/>
      <c r="AA148" s="255"/>
    </row>
    <row r="149" spans="1:32" s="257" customFormat="1" ht="17.100000000000001" customHeight="1">
      <c r="A149" s="124"/>
      <c r="B149" s="289"/>
      <c r="C149" s="347"/>
      <c r="D149" s="224"/>
      <c r="E149" s="230"/>
      <c r="F149" s="231"/>
      <c r="G149" s="252"/>
      <c r="H149" s="231"/>
      <c r="I149" s="151"/>
      <c r="J149" s="253"/>
      <c r="K149" s="151"/>
      <c r="L149" s="231"/>
      <c r="M149" s="231"/>
      <c r="N149" s="151"/>
      <c r="O149" s="233"/>
      <c r="P149" s="231"/>
      <c r="Q149" s="151"/>
      <c r="R149" s="231"/>
      <c r="S149" s="255"/>
      <c r="T149" s="255"/>
      <c r="U149" s="255"/>
      <c r="V149" s="256"/>
      <c r="W149" s="255"/>
      <c r="X149" s="255"/>
      <c r="Y149" s="255"/>
      <c r="Z149" s="255"/>
      <c r="AA149" s="255"/>
    </row>
    <row r="150" spans="1:32" s="126" customFormat="1" ht="17.100000000000001" customHeight="1">
      <c r="A150" s="195"/>
      <c r="B150" s="348"/>
      <c r="C150" s="315"/>
      <c r="D150" s="243"/>
      <c r="E150" s="302"/>
      <c r="F150" s="303"/>
      <c r="G150" s="304"/>
      <c r="H150" s="303"/>
      <c r="I150" s="305"/>
      <c r="J150" s="349"/>
      <c r="K150" s="305"/>
      <c r="L150" s="307"/>
      <c r="M150" s="303"/>
      <c r="N150" s="305"/>
      <c r="O150" s="308"/>
      <c r="P150" s="303"/>
      <c r="Q150" s="305"/>
      <c r="R150" s="303"/>
      <c r="V150" s="151"/>
    </row>
    <row r="151" spans="1:32" s="126" customFormat="1" ht="17.100000000000001" customHeight="1">
      <c r="A151" s="203">
        <v>1</v>
      </c>
      <c r="B151" s="350" t="s">
        <v>379</v>
      </c>
      <c r="C151" s="351">
        <v>55486</v>
      </c>
      <c r="D151" s="224"/>
      <c r="E151" s="297"/>
      <c r="F151" s="227"/>
      <c r="G151" s="284"/>
      <c r="H151" s="227"/>
      <c r="I151" s="280"/>
      <c r="J151" s="352"/>
      <c r="K151" s="280"/>
      <c r="L151" s="142"/>
      <c r="M151" s="227"/>
      <c r="N151" s="280"/>
      <c r="O151" s="233"/>
      <c r="P151" s="227"/>
      <c r="Q151" s="280"/>
      <c r="R151" s="227"/>
      <c r="V151" s="151"/>
    </row>
    <row r="152" spans="1:32" s="361" customFormat="1" ht="18" customHeight="1">
      <c r="A152" s="353"/>
      <c r="B152" s="234" t="s">
        <v>300</v>
      </c>
      <c r="C152" s="217">
        <f>C174+C299+C308+C326+C338+SUM(F155:F170)</f>
        <v>38615.799999999996</v>
      </c>
      <c r="D152" s="220" t="s">
        <v>238</v>
      </c>
      <c r="E152" s="354" t="s">
        <v>245</v>
      </c>
      <c r="F152" s="355"/>
      <c r="G152" s="356"/>
      <c r="H152" s="355"/>
      <c r="I152" s="357"/>
      <c r="J152" s="358"/>
      <c r="K152" s="357"/>
      <c r="L152" s="359"/>
      <c r="M152" s="355"/>
      <c r="N152" s="357"/>
      <c r="O152" s="360"/>
      <c r="P152" s="355"/>
      <c r="Q152" s="357"/>
      <c r="R152" s="355"/>
      <c r="V152" s="357"/>
    </row>
    <row r="153" spans="1:32" s="373" customFormat="1" ht="17.100000000000001" customHeight="1">
      <c r="A153" s="362"/>
      <c r="B153" s="363" t="s">
        <v>403</v>
      </c>
      <c r="C153" s="364">
        <v>38586</v>
      </c>
      <c r="D153" s="220" t="s">
        <v>238</v>
      </c>
      <c r="E153" s="365">
        <f>C153-C152</f>
        <v>-29.799999999995634</v>
      </c>
      <c r="F153" s="227"/>
      <c r="G153" s="366"/>
      <c r="H153" s="367"/>
      <c r="I153" s="368"/>
      <c r="J153" s="358"/>
      <c r="K153" s="368"/>
      <c r="L153" s="369"/>
      <c r="M153" s="367"/>
      <c r="N153" s="368"/>
      <c r="O153" s="370"/>
      <c r="P153" s="367"/>
      <c r="Q153" s="368"/>
      <c r="R153" s="371"/>
      <c r="S153" s="372"/>
      <c r="V153" s="374"/>
    </row>
    <row r="154" spans="1:32" s="373" customFormat="1" ht="17.100000000000001" customHeight="1">
      <c r="A154" s="362"/>
      <c r="B154" s="350" t="s">
        <v>380</v>
      </c>
      <c r="C154" s="282">
        <f>SUM(K155:K352)</f>
        <v>42698.474683646236</v>
      </c>
      <c r="D154" s="220" t="s">
        <v>247</v>
      </c>
      <c r="E154" s="365"/>
      <c r="F154" s="227"/>
      <c r="G154" s="366"/>
      <c r="H154" s="367"/>
      <c r="I154" s="368"/>
      <c r="J154" s="358"/>
      <c r="K154" s="368"/>
      <c r="L154" s="369"/>
      <c r="M154" s="367"/>
      <c r="N154" s="368"/>
      <c r="O154" s="370"/>
      <c r="P154" s="367"/>
      <c r="Q154" s="368"/>
      <c r="R154" s="371"/>
      <c r="V154" s="374"/>
    </row>
    <row r="155" spans="1:32" s="126" customFormat="1" ht="17.100000000000001" customHeight="1">
      <c r="A155" s="124">
        <v>2</v>
      </c>
      <c r="B155" s="290" t="s">
        <v>381</v>
      </c>
      <c r="C155" s="293" t="s">
        <v>382</v>
      </c>
      <c r="D155" s="224">
        <v>1</v>
      </c>
      <c r="E155" s="230">
        <v>7.4</v>
      </c>
      <c r="F155" s="231">
        <f t="shared" ref="F155:F170" si="30">E155*D155</f>
        <v>7.4</v>
      </c>
      <c r="G155" s="252">
        <v>51.75</v>
      </c>
      <c r="H155" s="231">
        <f t="shared" ref="H155:H170" si="31">G155*2.54</f>
        <v>131.44499999999999</v>
      </c>
      <c r="I155" s="151">
        <f t="shared" ref="I155:I170" si="32">F155*H155</f>
        <v>972.69299999999998</v>
      </c>
      <c r="J155" s="232">
        <f>D155*3.7</f>
        <v>3.7</v>
      </c>
      <c r="K155" s="231">
        <f t="shared" ref="K155:K170" si="33">J155*D155</f>
        <v>3.7</v>
      </c>
      <c r="L155" s="231">
        <f t="shared" ref="L155:L170" si="34">G155</f>
        <v>51.75</v>
      </c>
      <c r="M155" s="231">
        <f t="shared" ref="M155:M170" si="35">L155*2.54</f>
        <v>131.44499999999999</v>
      </c>
      <c r="N155" s="151">
        <f t="shared" ref="N155:N170" si="36">K155*M155</f>
        <v>486.34649999999999</v>
      </c>
      <c r="O155" s="233">
        <v>1.125</v>
      </c>
      <c r="P155" s="231">
        <f t="shared" ref="P155:P170" si="37">O155*2.54</f>
        <v>2.8574999999999999</v>
      </c>
      <c r="Q155" s="151">
        <f t="shared" ref="Q155:Q170" si="38">F155*P155</f>
        <v>21.145500000000002</v>
      </c>
      <c r="R155" s="231">
        <f t="shared" ref="R155:R170" si="39">K155*P155</f>
        <v>10.572750000000001</v>
      </c>
      <c r="V155" s="151"/>
    </row>
    <row r="156" spans="1:32" s="126" customFormat="1" ht="17.100000000000001" customHeight="1">
      <c r="A156" s="124">
        <v>2</v>
      </c>
      <c r="B156" s="290" t="s">
        <v>383</v>
      </c>
      <c r="C156" s="293" t="s">
        <v>382</v>
      </c>
      <c r="D156" s="224">
        <v>1</v>
      </c>
      <c r="E156" s="230">
        <v>0</v>
      </c>
      <c r="F156" s="231">
        <f t="shared" si="30"/>
        <v>0</v>
      </c>
      <c r="G156" s="252">
        <v>51.75</v>
      </c>
      <c r="H156" s="231">
        <f t="shared" si="31"/>
        <v>131.44499999999999</v>
      </c>
      <c r="I156" s="151">
        <f t="shared" si="32"/>
        <v>0</v>
      </c>
      <c r="J156" s="232">
        <f>D156*3.7</f>
        <v>3.7</v>
      </c>
      <c r="K156" s="231">
        <f t="shared" si="33"/>
        <v>3.7</v>
      </c>
      <c r="L156" s="231">
        <f t="shared" si="34"/>
        <v>51.75</v>
      </c>
      <c r="M156" s="231">
        <f t="shared" si="35"/>
        <v>131.44499999999999</v>
      </c>
      <c r="N156" s="151">
        <f t="shared" si="36"/>
        <v>486.34649999999999</v>
      </c>
      <c r="O156" s="233">
        <v>0</v>
      </c>
      <c r="P156" s="231">
        <f t="shared" si="37"/>
        <v>0</v>
      </c>
      <c r="Q156" s="151">
        <f t="shared" si="38"/>
        <v>0</v>
      </c>
      <c r="R156" s="231">
        <f t="shared" si="39"/>
        <v>0</v>
      </c>
      <c r="V156" s="151"/>
    </row>
    <row r="157" spans="1:32" s="126" customFormat="1" ht="17.100000000000001" customHeight="1">
      <c r="A157" s="124">
        <v>2</v>
      </c>
      <c r="B157" s="290" t="s">
        <v>384</v>
      </c>
      <c r="C157" s="293" t="s">
        <v>382</v>
      </c>
      <c r="D157" s="224">
        <v>1</v>
      </c>
      <c r="E157" s="230">
        <v>0</v>
      </c>
      <c r="F157" s="231">
        <f t="shared" si="30"/>
        <v>0</v>
      </c>
      <c r="G157" s="252">
        <v>51.75</v>
      </c>
      <c r="H157" s="231">
        <f t="shared" si="31"/>
        <v>131.44499999999999</v>
      </c>
      <c r="I157" s="151">
        <f t="shared" si="32"/>
        <v>0</v>
      </c>
      <c r="J157" s="232">
        <f>D157*3.7</f>
        <v>3.7</v>
      </c>
      <c r="K157" s="231">
        <f t="shared" si="33"/>
        <v>3.7</v>
      </c>
      <c r="L157" s="231">
        <f t="shared" si="34"/>
        <v>51.75</v>
      </c>
      <c r="M157" s="231">
        <f t="shared" si="35"/>
        <v>131.44499999999999</v>
      </c>
      <c r="N157" s="151">
        <f t="shared" si="36"/>
        <v>486.34649999999999</v>
      </c>
      <c r="O157" s="233">
        <v>-1.125</v>
      </c>
      <c r="P157" s="231">
        <f t="shared" si="37"/>
        <v>-2.8574999999999999</v>
      </c>
      <c r="Q157" s="151">
        <f t="shared" si="38"/>
        <v>0</v>
      </c>
      <c r="R157" s="231">
        <f t="shared" si="39"/>
        <v>-10.572750000000001</v>
      </c>
      <c r="V157" s="151"/>
    </row>
    <row r="158" spans="1:32" s="126" customFormat="1" ht="17.100000000000001" customHeight="1">
      <c r="A158" s="124">
        <v>2</v>
      </c>
      <c r="B158" s="290" t="s">
        <v>385</v>
      </c>
      <c r="C158" s="293" t="s">
        <v>382</v>
      </c>
      <c r="D158" s="224">
        <v>1</v>
      </c>
      <c r="E158" s="230">
        <v>7.4</v>
      </c>
      <c r="F158" s="231">
        <f t="shared" si="30"/>
        <v>7.4</v>
      </c>
      <c r="G158" s="252">
        <v>51.75</v>
      </c>
      <c r="H158" s="231">
        <f t="shared" si="31"/>
        <v>131.44499999999999</v>
      </c>
      <c r="I158" s="151">
        <f t="shared" si="32"/>
        <v>972.69299999999998</v>
      </c>
      <c r="J158" s="232">
        <f>D158*3.7</f>
        <v>3.7</v>
      </c>
      <c r="K158" s="231">
        <f t="shared" si="33"/>
        <v>3.7</v>
      </c>
      <c r="L158" s="231">
        <f t="shared" si="34"/>
        <v>51.75</v>
      </c>
      <c r="M158" s="231">
        <f t="shared" si="35"/>
        <v>131.44499999999999</v>
      </c>
      <c r="N158" s="151">
        <f t="shared" si="36"/>
        <v>486.34649999999999</v>
      </c>
      <c r="O158" s="233">
        <v>-2</v>
      </c>
      <c r="P158" s="231">
        <f t="shared" si="37"/>
        <v>-5.08</v>
      </c>
      <c r="Q158" s="151">
        <f t="shared" si="38"/>
        <v>-37.592000000000006</v>
      </c>
      <c r="R158" s="231">
        <f t="shared" si="39"/>
        <v>-18.796000000000003</v>
      </c>
      <c r="V158" s="151"/>
    </row>
    <row r="159" spans="1:32" s="126" customFormat="1" ht="17.100000000000001" customHeight="1">
      <c r="A159" s="124">
        <v>2</v>
      </c>
      <c r="B159" s="290" t="s">
        <v>524</v>
      </c>
      <c r="C159" s="293" t="s">
        <v>382</v>
      </c>
      <c r="D159" s="224">
        <v>1</v>
      </c>
      <c r="E159" s="230">
        <v>7.4</v>
      </c>
      <c r="F159" s="231">
        <f t="shared" si="30"/>
        <v>7.4</v>
      </c>
      <c r="G159" s="252">
        <v>51.75</v>
      </c>
      <c r="H159" s="231">
        <f t="shared" si="31"/>
        <v>131.44499999999999</v>
      </c>
      <c r="I159" s="151">
        <f t="shared" si="32"/>
        <v>972.69299999999998</v>
      </c>
      <c r="J159" s="232">
        <v>3.7</v>
      </c>
      <c r="K159" s="231">
        <f t="shared" si="33"/>
        <v>3.7</v>
      </c>
      <c r="L159" s="231">
        <f t="shared" si="34"/>
        <v>51.75</v>
      </c>
      <c r="M159" s="231">
        <f t="shared" si="35"/>
        <v>131.44499999999999</v>
      </c>
      <c r="N159" s="151">
        <f t="shared" si="36"/>
        <v>486.34649999999999</v>
      </c>
      <c r="O159" s="233">
        <v>-2.2999999999999998</v>
      </c>
      <c r="P159" s="231">
        <f t="shared" si="37"/>
        <v>-5.8419999999999996</v>
      </c>
      <c r="Q159" s="151">
        <f t="shared" si="38"/>
        <v>-43.230800000000002</v>
      </c>
      <c r="R159" s="231">
        <f t="shared" si="39"/>
        <v>-21.615400000000001</v>
      </c>
      <c r="V159" s="151"/>
    </row>
    <row r="160" spans="1:32" s="126" customFormat="1" ht="17.100000000000001" customHeight="1">
      <c r="A160" s="124">
        <v>2</v>
      </c>
      <c r="B160" s="290" t="s">
        <v>525</v>
      </c>
      <c r="C160" s="293" t="s">
        <v>382</v>
      </c>
      <c r="D160" s="224">
        <v>1</v>
      </c>
      <c r="E160" s="230">
        <v>0</v>
      </c>
      <c r="F160" s="231">
        <f t="shared" si="30"/>
        <v>0</v>
      </c>
      <c r="G160" s="252">
        <v>51.75</v>
      </c>
      <c r="H160" s="231">
        <f t="shared" si="31"/>
        <v>131.44499999999999</v>
      </c>
      <c r="I160" s="151">
        <f t="shared" si="32"/>
        <v>0</v>
      </c>
      <c r="J160" s="232">
        <f>D160*3.7</f>
        <v>3.7</v>
      </c>
      <c r="K160" s="231">
        <f t="shared" si="33"/>
        <v>3.7</v>
      </c>
      <c r="L160" s="231">
        <f t="shared" si="34"/>
        <v>51.75</v>
      </c>
      <c r="M160" s="231">
        <f t="shared" si="35"/>
        <v>131.44499999999999</v>
      </c>
      <c r="N160" s="151">
        <f t="shared" si="36"/>
        <v>486.34649999999999</v>
      </c>
      <c r="O160" s="233">
        <v>-2</v>
      </c>
      <c r="P160" s="231">
        <f t="shared" si="37"/>
        <v>-5.08</v>
      </c>
      <c r="Q160" s="151">
        <f t="shared" si="38"/>
        <v>0</v>
      </c>
      <c r="R160" s="231">
        <f t="shared" si="39"/>
        <v>-18.796000000000003</v>
      </c>
      <c r="V160" s="151"/>
    </row>
    <row r="161" spans="1:32" s="126" customFormat="1" ht="17.100000000000001" customHeight="1">
      <c r="A161" s="124">
        <v>2</v>
      </c>
      <c r="B161" s="290" t="s">
        <v>526</v>
      </c>
      <c r="C161" s="293" t="s">
        <v>382</v>
      </c>
      <c r="D161" s="224">
        <v>1</v>
      </c>
      <c r="E161" s="230">
        <v>0</v>
      </c>
      <c r="F161" s="231">
        <f t="shared" si="30"/>
        <v>0</v>
      </c>
      <c r="G161" s="252">
        <v>51.75</v>
      </c>
      <c r="H161" s="231">
        <f t="shared" si="31"/>
        <v>131.44499999999999</v>
      </c>
      <c r="I161" s="151">
        <f t="shared" si="32"/>
        <v>0</v>
      </c>
      <c r="J161" s="232">
        <f>D161*3.7</f>
        <v>3.7</v>
      </c>
      <c r="K161" s="231">
        <f t="shared" si="33"/>
        <v>3.7</v>
      </c>
      <c r="L161" s="231">
        <f t="shared" si="34"/>
        <v>51.75</v>
      </c>
      <c r="M161" s="231">
        <f t="shared" si="35"/>
        <v>131.44499999999999</v>
      </c>
      <c r="N161" s="151">
        <f t="shared" si="36"/>
        <v>486.34649999999999</v>
      </c>
      <c r="O161" s="233">
        <v>-1.125</v>
      </c>
      <c r="P161" s="231">
        <f t="shared" si="37"/>
        <v>-2.8574999999999999</v>
      </c>
      <c r="Q161" s="151">
        <f t="shared" si="38"/>
        <v>0</v>
      </c>
      <c r="R161" s="231">
        <f t="shared" si="39"/>
        <v>-10.572750000000001</v>
      </c>
      <c r="V161" s="151"/>
    </row>
    <row r="162" spans="1:32" s="126" customFormat="1" ht="17.100000000000001" customHeight="1">
      <c r="A162" s="124">
        <v>2</v>
      </c>
      <c r="B162" s="290" t="s">
        <v>527</v>
      </c>
      <c r="C162" s="293" t="s">
        <v>382</v>
      </c>
      <c r="D162" s="224">
        <v>1</v>
      </c>
      <c r="E162" s="230">
        <v>0</v>
      </c>
      <c r="F162" s="231">
        <f t="shared" si="30"/>
        <v>0</v>
      </c>
      <c r="G162" s="252">
        <v>51.75</v>
      </c>
      <c r="H162" s="231">
        <f t="shared" si="31"/>
        <v>131.44499999999999</v>
      </c>
      <c r="I162" s="151">
        <f t="shared" si="32"/>
        <v>0</v>
      </c>
      <c r="J162" s="232">
        <f>D162*3.7</f>
        <v>3.7</v>
      </c>
      <c r="K162" s="231">
        <f t="shared" si="33"/>
        <v>3.7</v>
      </c>
      <c r="L162" s="231">
        <f t="shared" si="34"/>
        <v>51.75</v>
      </c>
      <c r="M162" s="231">
        <f t="shared" si="35"/>
        <v>131.44499999999999</v>
      </c>
      <c r="N162" s="151">
        <f t="shared" si="36"/>
        <v>486.34649999999999</v>
      </c>
      <c r="O162" s="233">
        <v>1.125</v>
      </c>
      <c r="P162" s="231">
        <f t="shared" si="37"/>
        <v>2.8574999999999999</v>
      </c>
      <c r="Q162" s="151">
        <f t="shared" si="38"/>
        <v>0</v>
      </c>
      <c r="R162" s="231">
        <f t="shared" si="39"/>
        <v>10.572750000000001</v>
      </c>
      <c r="V162" s="151"/>
    </row>
    <row r="163" spans="1:32" s="126" customFormat="1" ht="17.100000000000001" customHeight="1">
      <c r="A163" s="124">
        <v>2</v>
      </c>
      <c r="B163" s="290" t="s">
        <v>528</v>
      </c>
      <c r="C163" s="293" t="s">
        <v>382</v>
      </c>
      <c r="D163" s="224">
        <v>1</v>
      </c>
      <c r="E163" s="230">
        <v>0</v>
      </c>
      <c r="F163" s="231">
        <f t="shared" si="30"/>
        <v>0</v>
      </c>
      <c r="G163" s="252">
        <v>51.75</v>
      </c>
      <c r="H163" s="231">
        <f t="shared" si="31"/>
        <v>131.44499999999999</v>
      </c>
      <c r="I163" s="151">
        <f t="shared" si="32"/>
        <v>0</v>
      </c>
      <c r="J163" s="232">
        <v>3.7</v>
      </c>
      <c r="K163" s="231">
        <f t="shared" si="33"/>
        <v>3.7</v>
      </c>
      <c r="L163" s="231">
        <f t="shared" si="34"/>
        <v>51.75</v>
      </c>
      <c r="M163" s="231">
        <f t="shared" si="35"/>
        <v>131.44499999999999</v>
      </c>
      <c r="N163" s="151">
        <f t="shared" si="36"/>
        <v>486.34649999999999</v>
      </c>
      <c r="O163" s="233">
        <v>2</v>
      </c>
      <c r="P163" s="231">
        <f t="shared" si="37"/>
        <v>5.08</v>
      </c>
      <c r="Q163" s="151">
        <f t="shared" si="38"/>
        <v>0</v>
      </c>
      <c r="R163" s="231">
        <f t="shared" si="39"/>
        <v>18.796000000000003</v>
      </c>
      <c r="V163" s="151"/>
    </row>
    <row r="164" spans="1:32" s="126" customFormat="1" ht="17.100000000000001" customHeight="1">
      <c r="A164" s="124">
        <v>2</v>
      </c>
      <c r="B164" s="290" t="s">
        <v>529</v>
      </c>
      <c r="C164" s="293" t="s">
        <v>530</v>
      </c>
      <c r="D164" s="224">
        <v>1</v>
      </c>
      <c r="E164" s="230">
        <v>8</v>
      </c>
      <c r="F164" s="231">
        <f t="shared" si="30"/>
        <v>8</v>
      </c>
      <c r="G164" s="252">
        <v>48.55</v>
      </c>
      <c r="H164" s="231">
        <f t="shared" si="31"/>
        <v>123.31699999999999</v>
      </c>
      <c r="I164" s="151">
        <f t="shared" si="32"/>
        <v>986.53599999999994</v>
      </c>
      <c r="J164" s="328">
        <v>7.13</v>
      </c>
      <c r="K164" s="151">
        <f t="shared" si="33"/>
        <v>7.13</v>
      </c>
      <c r="L164" s="254">
        <f t="shared" si="34"/>
        <v>48.55</v>
      </c>
      <c r="M164" s="231">
        <f t="shared" si="35"/>
        <v>123.31699999999999</v>
      </c>
      <c r="N164" s="151">
        <f t="shared" si="36"/>
        <v>879.25020999999992</v>
      </c>
      <c r="O164" s="233">
        <v>0</v>
      </c>
      <c r="P164" s="231">
        <f t="shared" si="37"/>
        <v>0</v>
      </c>
      <c r="Q164" s="151">
        <f t="shared" si="38"/>
        <v>0</v>
      </c>
      <c r="R164" s="231">
        <f t="shared" si="39"/>
        <v>0</v>
      </c>
      <c r="V164" s="151"/>
    </row>
    <row r="165" spans="1:32" s="126" customFormat="1" ht="33" customHeight="1">
      <c r="A165" s="124">
        <v>2</v>
      </c>
      <c r="B165" s="375" t="s">
        <v>531</v>
      </c>
      <c r="C165" s="376" t="s">
        <v>407</v>
      </c>
      <c r="D165" s="224">
        <v>1</v>
      </c>
      <c r="E165" s="230">
        <v>13</v>
      </c>
      <c r="F165" s="231">
        <f t="shared" si="30"/>
        <v>13</v>
      </c>
      <c r="G165" s="252">
        <v>48.64</v>
      </c>
      <c r="H165" s="231">
        <f t="shared" si="31"/>
        <v>123.54560000000001</v>
      </c>
      <c r="I165" s="151">
        <f t="shared" si="32"/>
        <v>1606.0928000000001</v>
      </c>
      <c r="J165" s="253">
        <f>E165/SS_Density</f>
        <v>1.6195340725052947</v>
      </c>
      <c r="K165" s="151">
        <f t="shared" si="33"/>
        <v>1.6195340725052947</v>
      </c>
      <c r="L165" s="254">
        <f t="shared" si="34"/>
        <v>48.64</v>
      </c>
      <c r="M165" s="231">
        <f t="shared" si="35"/>
        <v>123.54560000000001</v>
      </c>
      <c r="N165" s="151">
        <f t="shared" si="36"/>
        <v>200.08630870811015</v>
      </c>
      <c r="O165" s="233">
        <v>0</v>
      </c>
      <c r="P165" s="231">
        <f t="shared" si="37"/>
        <v>0</v>
      </c>
      <c r="Q165" s="151">
        <f t="shared" si="38"/>
        <v>0</v>
      </c>
      <c r="R165" s="231">
        <f t="shared" si="39"/>
        <v>0</v>
      </c>
      <c r="V165" s="151"/>
    </row>
    <row r="166" spans="1:32" s="126" customFormat="1" ht="17.100000000000001" customHeight="1">
      <c r="A166" s="124">
        <v>2</v>
      </c>
      <c r="B166" s="126" t="s">
        <v>408</v>
      </c>
      <c r="C166" s="293" t="s">
        <v>530</v>
      </c>
      <c r="D166" s="224">
        <v>1</v>
      </c>
      <c r="E166" s="230">
        <v>8</v>
      </c>
      <c r="F166" s="231">
        <f t="shared" si="30"/>
        <v>8</v>
      </c>
      <c r="G166" s="252">
        <v>28.72</v>
      </c>
      <c r="H166" s="231">
        <f t="shared" si="31"/>
        <v>72.948799999999991</v>
      </c>
      <c r="I166" s="151">
        <f t="shared" si="32"/>
        <v>583.59039999999993</v>
      </c>
      <c r="J166" s="328">
        <v>7.13</v>
      </c>
      <c r="K166" s="231">
        <f t="shared" si="33"/>
        <v>7.13</v>
      </c>
      <c r="L166" s="254">
        <f t="shared" si="34"/>
        <v>28.72</v>
      </c>
      <c r="M166" s="231">
        <f t="shared" si="35"/>
        <v>72.948799999999991</v>
      </c>
      <c r="N166" s="151">
        <f t="shared" si="36"/>
        <v>520.12494399999991</v>
      </c>
      <c r="O166" s="233">
        <v>0</v>
      </c>
      <c r="P166" s="231">
        <f t="shared" si="37"/>
        <v>0</v>
      </c>
      <c r="Q166" s="151">
        <f t="shared" si="38"/>
        <v>0</v>
      </c>
      <c r="R166" s="231">
        <f t="shared" si="39"/>
        <v>0</v>
      </c>
      <c r="V166" s="151"/>
    </row>
    <row r="167" spans="1:32" s="126" customFormat="1" ht="33" customHeight="1">
      <c r="A167" s="124">
        <v>2</v>
      </c>
      <c r="B167" s="375" t="s">
        <v>409</v>
      </c>
      <c r="C167" s="377" t="s">
        <v>407</v>
      </c>
      <c r="D167" s="224">
        <v>1</v>
      </c>
      <c r="E167" s="230">
        <v>15</v>
      </c>
      <c r="F167" s="231">
        <f t="shared" si="30"/>
        <v>15</v>
      </c>
      <c r="G167" s="252">
        <v>25.75</v>
      </c>
      <c r="H167" s="231">
        <f t="shared" si="31"/>
        <v>65.405000000000001</v>
      </c>
      <c r="I167" s="151">
        <f t="shared" si="32"/>
        <v>981.07500000000005</v>
      </c>
      <c r="J167" s="253">
        <f>E167/SS_Density</f>
        <v>1.8686931605830324</v>
      </c>
      <c r="K167" s="151">
        <f t="shared" si="33"/>
        <v>1.8686931605830324</v>
      </c>
      <c r="L167" s="254">
        <f t="shared" si="34"/>
        <v>25.75</v>
      </c>
      <c r="M167" s="231">
        <f t="shared" si="35"/>
        <v>65.405000000000001</v>
      </c>
      <c r="N167" s="151">
        <f t="shared" si="36"/>
        <v>122.22187616793323</v>
      </c>
      <c r="O167" s="233">
        <v>0</v>
      </c>
      <c r="P167" s="231">
        <f t="shared" si="37"/>
        <v>0</v>
      </c>
      <c r="Q167" s="151">
        <f t="shared" si="38"/>
        <v>0</v>
      </c>
      <c r="R167" s="231">
        <f t="shared" si="39"/>
        <v>0</v>
      </c>
      <c r="V167" s="151"/>
    </row>
    <row r="168" spans="1:32" s="126" customFormat="1" ht="17.100000000000001" customHeight="1">
      <c r="A168" s="124">
        <v>2</v>
      </c>
      <c r="B168" s="290" t="s">
        <v>410</v>
      </c>
      <c r="C168" s="124" t="s">
        <v>411</v>
      </c>
      <c r="D168" s="224">
        <v>1</v>
      </c>
      <c r="E168" s="230">
        <v>5.2</v>
      </c>
      <c r="F168" s="231">
        <f t="shared" si="30"/>
        <v>5.2</v>
      </c>
      <c r="G168" s="252">
        <v>23.41</v>
      </c>
      <c r="H168" s="231">
        <f t="shared" si="31"/>
        <v>59.461400000000005</v>
      </c>
      <c r="I168" s="151">
        <f t="shared" si="32"/>
        <v>309.19928000000004</v>
      </c>
      <c r="J168" s="335">
        <v>0</v>
      </c>
      <c r="K168" s="151">
        <f t="shared" si="33"/>
        <v>0</v>
      </c>
      <c r="L168" s="254">
        <f t="shared" si="34"/>
        <v>23.41</v>
      </c>
      <c r="M168" s="231">
        <f t="shared" si="35"/>
        <v>59.461400000000005</v>
      </c>
      <c r="N168" s="151">
        <f t="shared" si="36"/>
        <v>0</v>
      </c>
      <c r="O168" s="233">
        <v>0</v>
      </c>
      <c r="P168" s="231">
        <f t="shared" si="37"/>
        <v>0</v>
      </c>
      <c r="Q168" s="151">
        <f t="shared" si="38"/>
        <v>0</v>
      </c>
      <c r="R168" s="231">
        <f t="shared" si="39"/>
        <v>0</v>
      </c>
      <c r="V168" s="151"/>
    </row>
    <row r="169" spans="1:32" s="126" customFormat="1" ht="16.5" customHeight="1">
      <c r="A169" s="124">
        <v>2</v>
      </c>
      <c r="B169" s="126" t="s">
        <v>412</v>
      </c>
      <c r="C169" s="251">
        <v>52410</v>
      </c>
      <c r="D169" s="224">
        <v>1</v>
      </c>
      <c r="E169" s="230">
        <v>6.6</v>
      </c>
      <c r="F169" s="231">
        <f t="shared" si="30"/>
        <v>6.6</v>
      </c>
      <c r="G169" s="252">
        <v>26.13</v>
      </c>
      <c r="H169" s="231">
        <f t="shared" si="31"/>
        <v>66.370199999999997</v>
      </c>
      <c r="I169" s="151">
        <f t="shared" si="32"/>
        <v>438.04331999999994</v>
      </c>
      <c r="J169" s="328">
        <v>5.76</v>
      </c>
      <c r="K169" s="231">
        <f t="shared" si="33"/>
        <v>5.76</v>
      </c>
      <c r="L169" s="254">
        <f t="shared" si="34"/>
        <v>26.13</v>
      </c>
      <c r="M169" s="231">
        <f t="shared" si="35"/>
        <v>66.370199999999997</v>
      </c>
      <c r="N169" s="151">
        <f t="shared" si="36"/>
        <v>382.29235199999999</v>
      </c>
      <c r="O169" s="233">
        <v>0</v>
      </c>
      <c r="P169" s="231">
        <f t="shared" si="37"/>
        <v>0</v>
      </c>
      <c r="Q169" s="151">
        <f t="shared" si="38"/>
        <v>0</v>
      </c>
      <c r="R169" s="231">
        <f t="shared" si="39"/>
        <v>0</v>
      </c>
      <c r="V169" s="151"/>
    </row>
    <row r="170" spans="1:32" s="126" customFormat="1" ht="17.100000000000001" customHeight="1">
      <c r="A170" s="124">
        <v>2</v>
      </c>
      <c r="B170" s="290" t="s">
        <v>413</v>
      </c>
      <c r="C170" s="293" t="s">
        <v>411</v>
      </c>
      <c r="D170" s="224">
        <v>1</v>
      </c>
      <c r="E170" s="230">
        <v>10.5</v>
      </c>
      <c r="F170" s="231">
        <f t="shared" si="30"/>
        <v>10.5</v>
      </c>
      <c r="G170" s="252">
        <v>25.92</v>
      </c>
      <c r="H170" s="231">
        <f t="shared" si="31"/>
        <v>65.836800000000011</v>
      </c>
      <c r="I170" s="151">
        <f t="shared" si="32"/>
        <v>691.28640000000007</v>
      </c>
      <c r="J170" s="335">
        <v>0</v>
      </c>
      <c r="K170" s="151">
        <f t="shared" si="33"/>
        <v>0</v>
      </c>
      <c r="L170" s="254">
        <f t="shared" si="34"/>
        <v>25.92</v>
      </c>
      <c r="M170" s="231">
        <f t="shared" si="35"/>
        <v>65.836800000000011</v>
      </c>
      <c r="N170" s="151">
        <f t="shared" si="36"/>
        <v>0</v>
      </c>
      <c r="O170" s="233">
        <v>0</v>
      </c>
      <c r="P170" s="231">
        <f t="shared" si="37"/>
        <v>0</v>
      </c>
      <c r="Q170" s="151">
        <f t="shared" si="38"/>
        <v>0</v>
      </c>
      <c r="R170" s="231">
        <f t="shared" si="39"/>
        <v>0</v>
      </c>
      <c r="V170" s="124"/>
    </row>
    <row r="171" spans="1:32" s="373" customFormat="1" ht="17.100000000000001" customHeight="1">
      <c r="A171" s="362"/>
      <c r="B171" s="350"/>
      <c r="C171" s="282"/>
      <c r="D171" s="220"/>
      <c r="E171" s="365"/>
      <c r="F171" s="227"/>
      <c r="G171" s="366"/>
      <c r="H171" s="367"/>
      <c r="I171" s="368"/>
      <c r="J171" s="358"/>
      <c r="K171" s="368"/>
      <c r="L171" s="369"/>
      <c r="M171" s="367"/>
      <c r="N171" s="368"/>
      <c r="O171" s="370"/>
      <c r="P171" s="367"/>
      <c r="Q171" s="368"/>
      <c r="R171" s="371"/>
      <c r="V171" s="374"/>
    </row>
    <row r="172" spans="1:32" s="8" customFormat="1" ht="17.100000000000001" customHeight="1">
      <c r="A172" s="378"/>
      <c r="B172" s="379"/>
      <c r="C172" s="380"/>
      <c r="D172" s="381"/>
      <c r="E172" s="382"/>
      <c r="F172" s="383"/>
      <c r="G172" s="383"/>
      <c r="H172" s="383"/>
      <c r="I172" s="383"/>
      <c r="J172" s="384"/>
      <c r="K172" s="383"/>
      <c r="L172" s="383"/>
      <c r="M172" s="383"/>
      <c r="N172" s="383"/>
      <c r="O172" s="384"/>
      <c r="P172" s="383"/>
      <c r="Q172" s="383"/>
      <c r="R172" s="383"/>
      <c r="V172" s="115"/>
    </row>
    <row r="173" spans="1:32" s="8" customFormat="1" ht="17.100000000000001" customHeight="1">
      <c r="A173" s="120">
        <v>2</v>
      </c>
      <c r="B173" s="147" t="s">
        <v>414</v>
      </c>
      <c r="C173" s="219">
        <v>49891</v>
      </c>
      <c r="D173" s="321"/>
      <c r="E173" s="202"/>
      <c r="F173" s="149"/>
      <c r="G173" s="322"/>
      <c r="H173" s="149"/>
      <c r="I173" s="115"/>
      <c r="J173" s="323"/>
      <c r="K173" s="219"/>
      <c r="L173" s="385"/>
      <c r="M173" s="149"/>
      <c r="N173" s="219"/>
      <c r="O173" s="337"/>
      <c r="P173" s="149"/>
      <c r="Q173" s="115"/>
      <c r="R173" s="149"/>
      <c r="V173" s="115"/>
    </row>
    <row r="174" spans="1:32" s="8" customFormat="1" ht="17.100000000000001" customHeight="1">
      <c r="A174" s="10"/>
      <c r="B174" s="234" t="s">
        <v>300</v>
      </c>
      <c r="C174" s="217">
        <f>SUM(F185:F292)</f>
        <v>7285.0000000000018</v>
      </c>
      <c r="D174" s="220" t="s">
        <v>238</v>
      </c>
      <c r="E174" s="354" t="s">
        <v>245</v>
      </c>
      <c r="F174" s="149"/>
      <c r="G174" s="322"/>
      <c r="H174" s="149"/>
      <c r="J174" s="323"/>
      <c r="L174" s="385"/>
      <c r="M174" s="149"/>
      <c r="N174" s="219"/>
      <c r="O174" s="337"/>
      <c r="P174" s="149"/>
      <c r="Q174" s="115"/>
      <c r="R174" s="149"/>
      <c r="V174" s="115"/>
    </row>
    <row r="175" spans="1:32" s="126" customFormat="1" ht="17.100000000000001" customHeight="1">
      <c r="A175" s="124"/>
      <c r="B175" s="363" t="s">
        <v>403</v>
      </c>
      <c r="C175" s="338">
        <v>7316</v>
      </c>
      <c r="D175" s="386" t="s">
        <v>238</v>
      </c>
      <c r="E175" s="365">
        <f>C175-C174</f>
        <v>30.999999999998181</v>
      </c>
      <c r="I175" s="387"/>
      <c r="O175" s="273"/>
      <c r="S175"/>
      <c r="T175"/>
      <c r="U175"/>
      <c r="V175"/>
      <c r="W175"/>
      <c r="X175"/>
      <c r="Y175"/>
      <c r="Z175"/>
      <c r="AA175"/>
      <c r="AB175"/>
      <c r="AC175"/>
      <c r="AD175"/>
      <c r="AE175"/>
      <c r="AF175"/>
    </row>
    <row r="176" spans="1:32" s="8" customFormat="1" ht="17.100000000000001" customHeight="1">
      <c r="A176" s="10"/>
      <c r="B176" s="388"/>
      <c r="C176" s="219"/>
      <c r="D176" s="220"/>
      <c r="E176" s="202"/>
      <c r="F176" s="149"/>
      <c r="G176" s="322"/>
      <c r="H176" s="149"/>
      <c r="I176" s="115"/>
      <c r="J176" s="323"/>
      <c r="K176" s="219"/>
      <c r="L176" s="385"/>
      <c r="M176" s="149"/>
      <c r="N176" s="219"/>
      <c r="O176" s="337"/>
      <c r="P176" s="149"/>
      <c r="Q176" s="115"/>
      <c r="R176" s="149"/>
      <c r="V176" s="115"/>
    </row>
    <row r="177" spans="1:22" s="8" customFormat="1" ht="17.100000000000001" customHeight="1">
      <c r="A177" s="10">
        <v>3</v>
      </c>
      <c r="B177" s="137" t="s">
        <v>415</v>
      </c>
      <c r="C177" s="389">
        <v>5582</v>
      </c>
      <c r="D177" s="220" t="s">
        <v>238</v>
      </c>
      <c r="E177" s="202"/>
      <c r="F177" s="149"/>
      <c r="G177" s="322"/>
      <c r="H177" s="149"/>
      <c r="I177" s="115"/>
      <c r="J177" s="323"/>
      <c r="K177" s="219"/>
      <c r="L177" s="385"/>
      <c r="M177" s="149"/>
      <c r="N177" s="219"/>
      <c r="O177" s="337"/>
      <c r="P177" s="149"/>
      <c r="Q177" s="115"/>
      <c r="R177" s="149"/>
      <c r="V177" s="115"/>
    </row>
    <row r="178" spans="1:22" s="8" customFormat="1" ht="17.100000000000001" customHeight="1">
      <c r="A178" s="10"/>
      <c r="B178" s="137" t="s">
        <v>416</v>
      </c>
      <c r="C178" s="389">
        <v>6698</v>
      </c>
      <c r="D178" s="220" t="s">
        <v>238</v>
      </c>
      <c r="E178" s="202"/>
      <c r="F178" s="202"/>
      <c r="G178" s="390"/>
      <c r="H178" s="149"/>
      <c r="I178" s="115"/>
      <c r="J178" s="323"/>
      <c r="K178" s="219"/>
      <c r="L178" s="385"/>
      <c r="M178" s="149"/>
      <c r="N178" s="219"/>
      <c r="O178" s="337"/>
      <c r="P178" s="149"/>
      <c r="Q178" s="115"/>
      <c r="R178" s="149"/>
      <c r="V178" s="115"/>
    </row>
    <row r="179" spans="1:22" s="8" customFormat="1" ht="17.100000000000001" customHeight="1">
      <c r="A179" s="10"/>
      <c r="B179" s="137" t="s">
        <v>417</v>
      </c>
      <c r="C179" s="231">
        <f>C178-C177</f>
        <v>1116</v>
      </c>
      <c r="D179" s="220" t="s">
        <v>238</v>
      </c>
      <c r="F179" s="149"/>
      <c r="G179" s="322"/>
      <c r="H179" s="149"/>
      <c r="I179" s="115"/>
      <c r="J179" s="323"/>
      <c r="K179" s="219"/>
      <c r="L179" s="385"/>
      <c r="M179" s="149"/>
      <c r="N179" s="219"/>
      <c r="O179" s="337"/>
      <c r="P179" s="149"/>
      <c r="Q179" s="115"/>
      <c r="R179" s="149"/>
      <c r="V179" s="115"/>
    </row>
    <row r="180" spans="1:22" s="8" customFormat="1" ht="17.100000000000001" customHeight="1">
      <c r="A180" s="10"/>
      <c r="B180" s="137" t="s">
        <v>418</v>
      </c>
      <c r="C180" s="149">
        <f>Oil_wt_2/Oil_density</f>
        <v>1356.1793656580387</v>
      </c>
      <c r="D180" s="220" t="s">
        <v>247</v>
      </c>
      <c r="F180" s="149"/>
      <c r="G180" s="322"/>
      <c r="H180" s="149"/>
      <c r="I180" s="115"/>
      <c r="J180" s="323"/>
      <c r="K180" s="219"/>
      <c r="L180" s="385"/>
      <c r="M180" s="149"/>
      <c r="N180" s="219"/>
      <c r="O180" s="337"/>
      <c r="P180" s="149"/>
      <c r="Q180" s="115"/>
      <c r="R180" s="149"/>
      <c r="V180" s="115"/>
    </row>
    <row r="181" spans="1:22" s="8" customFormat="1" ht="17.100000000000001" customHeight="1">
      <c r="A181" s="10"/>
      <c r="B181" s="391"/>
      <c r="C181" s="392"/>
      <c r="D181" s="267"/>
      <c r="E181" s="278"/>
      <c r="F181" s="217"/>
      <c r="G181" s="393"/>
      <c r="H181" s="149"/>
      <c r="I181" s="115"/>
      <c r="J181" s="323"/>
      <c r="K181" s="219"/>
      <c r="L181" s="394"/>
      <c r="M181" s="217"/>
      <c r="N181" s="395"/>
      <c r="O181" s="325"/>
      <c r="P181" s="217"/>
      <c r="Q181" s="219"/>
      <c r="R181" s="149"/>
      <c r="V181" s="115"/>
    </row>
    <row r="182" spans="1:22" s="8" customFormat="1" ht="17.100000000000001" customHeight="1">
      <c r="A182" s="10">
        <v>3</v>
      </c>
      <c r="B182" s="396" t="s">
        <v>419</v>
      </c>
      <c r="C182" s="219">
        <v>55480</v>
      </c>
      <c r="D182" s="220"/>
      <c r="E182" s="230"/>
      <c r="F182" s="149"/>
      <c r="G182" s="334"/>
      <c r="H182" s="149"/>
      <c r="I182" s="115"/>
      <c r="J182" s="352"/>
      <c r="K182" s="115"/>
      <c r="L182" s="336"/>
      <c r="M182" s="149"/>
      <c r="N182" s="115"/>
      <c r="O182" s="337"/>
      <c r="P182" s="149"/>
      <c r="Q182" s="115"/>
      <c r="R182" s="149"/>
      <c r="V182" s="115"/>
    </row>
    <row r="183" spans="1:22" s="8" customFormat="1" ht="17.100000000000001" customHeight="1">
      <c r="A183" s="10"/>
      <c r="B183" s="6" t="s">
        <v>300</v>
      </c>
      <c r="C183" s="149">
        <f>(SUM(F185:F234))+E211-F211</f>
        <v>3951.800000000002</v>
      </c>
      <c r="D183" s="220" t="s">
        <v>238</v>
      </c>
      <c r="E183" s="354" t="s">
        <v>245</v>
      </c>
      <c r="F183" s="149"/>
      <c r="G183" s="334"/>
      <c r="H183" s="149"/>
      <c r="I183" s="115"/>
      <c r="J183" s="352"/>
      <c r="K183" s="115"/>
      <c r="L183" s="336"/>
      <c r="M183" s="149"/>
      <c r="N183" s="115"/>
      <c r="O183" s="337"/>
      <c r="P183" s="149"/>
      <c r="Q183" s="115"/>
      <c r="R183" s="149"/>
      <c r="V183" s="115"/>
    </row>
    <row r="184" spans="1:22" s="8" customFormat="1" ht="17.100000000000001" customHeight="1">
      <c r="A184" s="10"/>
      <c r="B184" s="6" t="s">
        <v>403</v>
      </c>
      <c r="C184" s="230">
        <v>4052.4</v>
      </c>
      <c r="D184" s="220" t="s">
        <v>238</v>
      </c>
      <c r="E184" s="365">
        <f>C184-C183</f>
        <v>100.59999999999809</v>
      </c>
      <c r="F184" s="149"/>
      <c r="G184" s="334"/>
      <c r="H184" s="149"/>
      <c r="I184" s="115"/>
      <c r="J184" s="352"/>
      <c r="K184" s="115"/>
      <c r="L184" s="336"/>
      <c r="M184" s="149"/>
      <c r="N184" s="115"/>
      <c r="O184" s="337"/>
      <c r="P184" s="149"/>
      <c r="Q184" s="115"/>
      <c r="R184" s="149"/>
      <c r="V184" s="115"/>
    </row>
    <row r="185" spans="1:22" s="8" customFormat="1" ht="17.100000000000001" customHeight="1">
      <c r="A185" s="10">
        <v>4</v>
      </c>
      <c r="B185" s="133" t="s">
        <v>420</v>
      </c>
      <c r="C185" s="397" t="s">
        <v>421</v>
      </c>
      <c r="D185" s="333">
        <v>1</v>
      </c>
      <c r="E185" s="230">
        <v>2012.7</v>
      </c>
      <c r="F185" s="149">
        <f t="shared" ref="F185:F210" si="40">E185*D185</f>
        <v>2012.7</v>
      </c>
      <c r="G185" s="334">
        <v>50.014000000000003</v>
      </c>
      <c r="H185" s="149">
        <f t="shared" ref="H185:H216" si="41">G185*2.54</f>
        <v>127.03556</v>
      </c>
      <c r="I185" s="115">
        <f t="shared" ref="I185:I216" si="42">F185*H185</f>
        <v>255684.47161200002</v>
      </c>
      <c r="J185" s="328">
        <v>2885</v>
      </c>
      <c r="K185" s="115">
        <f t="shared" ref="K185:K216" si="43">J185*D185</f>
        <v>2885</v>
      </c>
      <c r="L185" s="336">
        <v>49.752000000000002</v>
      </c>
      <c r="M185" s="149">
        <f t="shared" ref="M185:M216" si="44">L185*2.54</f>
        <v>126.37008</v>
      </c>
      <c r="N185" s="115">
        <f t="shared" ref="N185:N209" si="45">K185*M185</f>
        <v>364577.68080000003</v>
      </c>
      <c r="O185" s="337">
        <v>0</v>
      </c>
      <c r="P185" s="149">
        <f t="shared" ref="P185:P216" si="46">O185*2.54</f>
        <v>0</v>
      </c>
      <c r="Q185" s="115">
        <f t="shared" ref="Q185:Q216" si="47">F185*P185</f>
        <v>0</v>
      </c>
      <c r="R185" s="149">
        <f t="shared" ref="R185:R216" si="48">K185*P185</f>
        <v>0</v>
      </c>
      <c r="V185" s="115"/>
    </row>
    <row r="186" spans="1:22" s="8" customFormat="1" ht="17.100000000000001" customHeight="1">
      <c r="A186" s="10">
        <v>4</v>
      </c>
      <c r="B186" s="133" t="s">
        <v>422</v>
      </c>
      <c r="C186" s="10">
        <v>55248</v>
      </c>
      <c r="D186" s="333">
        <v>1</v>
      </c>
      <c r="E186" s="230">
        <v>1.1000000000000001</v>
      </c>
      <c r="F186" s="149">
        <f t="shared" si="40"/>
        <v>1.1000000000000001</v>
      </c>
      <c r="G186" s="334">
        <v>48.41</v>
      </c>
      <c r="H186" s="149">
        <f t="shared" si="41"/>
        <v>122.9614</v>
      </c>
      <c r="I186" s="115">
        <f t="shared" si="42"/>
        <v>135.25754000000001</v>
      </c>
      <c r="J186" s="335">
        <v>0</v>
      </c>
      <c r="K186" s="115">
        <f t="shared" si="43"/>
        <v>0</v>
      </c>
      <c r="L186" s="336">
        <f t="shared" ref="L186:L210" si="49">G186</f>
        <v>48.41</v>
      </c>
      <c r="M186" s="149">
        <f t="shared" si="44"/>
        <v>122.9614</v>
      </c>
      <c r="N186" s="115">
        <f t="shared" si="45"/>
        <v>0</v>
      </c>
      <c r="O186" s="337">
        <v>0</v>
      </c>
      <c r="P186" s="149">
        <f t="shared" si="46"/>
        <v>0</v>
      </c>
      <c r="Q186" s="115">
        <f t="shared" si="47"/>
        <v>0</v>
      </c>
      <c r="R186" s="149">
        <f t="shared" si="48"/>
        <v>0</v>
      </c>
      <c r="V186" s="115"/>
    </row>
    <row r="187" spans="1:22" s="8" customFormat="1" ht="17.100000000000001" customHeight="1">
      <c r="A187" s="10">
        <v>4</v>
      </c>
      <c r="B187" s="133" t="s">
        <v>423</v>
      </c>
      <c r="C187" s="397" t="s">
        <v>424</v>
      </c>
      <c r="D187" s="333">
        <v>1</v>
      </c>
      <c r="E187" s="230">
        <v>8.3000000000000007</v>
      </c>
      <c r="F187" s="149">
        <f t="shared" si="40"/>
        <v>8.3000000000000007</v>
      </c>
      <c r="G187" s="334">
        <v>49.3</v>
      </c>
      <c r="H187" s="149">
        <f t="shared" si="41"/>
        <v>125.22199999999999</v>
      </c>
      <c r="I187" s="115">
        <f t="shared" si="42"/>
        <v>1039.3425999999999</v>
      </c>
      <c r="J187" s="335">
        <v>0</v>
      </c>
      <c r="K187" s="115">
        <f t="shared" si="43"/>
        <v>0</v>
      </c>
      <c r="L187" s="336">
        <f t="shared" si="49"/>
        <v>49.3</v>
      </c>
      <c r="M187" s="149">
        <f t="shared" si="44"/>
        <v>125.22199999999999</v>
      </c>
      <c r="N187" s="115">
        <f t="shared" si="45"/>
        <v>0</v>
      </c>
      <c r="O187" s="337">
        <v>0</v>
      </c>
      <c r="P187" s="149">
        <f t="shared" si="46"/>
        <v>0</v>
      </c>
      <c r="Q187" s="115">
        <f t="shared" si="47"/>
        <v>0</v>
      </c>
      <c r="R187" s="149">
        <f t="shared" si="48"/>
        <v>0</v>
      </c>
      <c r="V187" s="115"/>
    </row>
    <row r="188" spans="1:22" s="8" customFormat="1" ht="16.5" customHeight="1">
      <c r="A188" s="10">
        <v>4</v>
      </c>
      <c r="B188" s="398" t="s">
        <v>425</v>
      </c>
      <c r="C188" s="397" t="s">
        <v>426</v>
      </c>
      <c r="D188" s="333">
        <v>1</v>
      </c>
      <c r="E188" s="230">
        <v>27.6</v>
      </c>
      <c r="F188" s="149">
        <f t="shared" si="40"/>
        <v>27.6</v>
      </c>
      <c r="G188" s="334">
        <v>49.3</v>
      </c>
      <c r="H188" s="149">
        <f t="shared" si="41"/>
        <v>125.22199999999999</v>
      </c>
      <c r="I188" s="115">
        <f t="shared" si="42"/>
        <v>3456.1271999999999</v>
      </c>
      <c r="J188" s="335">
        <v>0</v>
      </c>
      <c r="K188" s="115">
        <f t="shared" si="43"/>
        <v>0</v>
      </c>
      <c r="L188" s="336">
        <f t="shared" si="49"/>
        <v>49.3</v>
      </c>
      <c r="M188" s="149">
        <f t="shared" si="44"/>
        <v>125.22199999999999</v>
      </c>
      <c r="N188" s="115">
        <f t="shared" si="45"/>
        <v>0</v>
      </c>
      <c r="O188" s="337">
        <v>0.5</v>
      </c>
      <c r="P188" s="149">
        <f t="shared" si="46"/>
        <v>1.27</v>
      </c>
      <c r="Q188" s="115">
        <f t="shared" si="47"/>
        <v>35.052</v>
      </c>
      <c r="R188" s="149">
        <f t="shared" si="48"/>
        <v>0</v>
      </c>
      <c r="V188" s="115"/>
    </row>
    <row r="189" spans="1:22" s="8" customFormat="1" ht="17.100000000000001" customHeight="1">
      <c r="A189" s="10">
        <v>4</v>
      </c>
      <c r="B189" s="398" t="s">
        <v>427</v>
      </c>
      <c r="C189" s="397" t="s">
        <v>428</v>
      </c>
      <c r="D189" s="333">
        <v>1</v>
      </c>
      <c r="E189" s="230">
        <v>605.5</v>
      </c>
      <c r="F189" s="149">
        <f t="shared" si="40"/>
        <v>605.5</v>
      </c>
      <c r="G189" s="334">
        <v>49.02</v>
      </c>
      <c r="H189" s="149">
        <f t="shared" si="41"/>
        <v>124.5108</v>
      </c>
      <c r="I189" s="115">
        <f t="shared" si="42"/>
        <v>75391.289400000009</v>
      </c>
      <c r="J189" s="335">
        <v>0</v>
      </c>
      <c r="K189" s="115">
        <f t="shared" si="43"/>
        <v>0</v>
      </c>
      <c r="L189" s="336">
        <f t="shared" si="49"/>
        <v>49.02</v>
      </c>
      <c r="M189" s="149">
        <f t="shared" si="44"/>
        <v>124.5108</v>
      </c>
      <c r="N189" s="115">
        <f t="shared" si="45"/>
        <v>0</v>
      </c>
      <c r="O189" s="337">
        <v>0.6</v>
      </c>
      <c r="P189" s="149">
        <f t="shared" si="46"/>
        <v>1.524</v>
      </c>
      <c r="Q189" s="115">
        <f t="shared" si="47"/>
        <v>922.78200000000004</v>
      </c>
      <c r="R189" s="149">
        <f t="shared" si="48"/>
        <v>0</v>
      </c>
      <c r="V189" s="115"/>
    </row>
    <row r="190" spans="1:22" s="8" customFormat="1" ht="17.100000000000001" customHeight="1">
      <c r="A190" s="10">
        <v>4</v>
      </c>
      <c r="B190" s="398" t="s">
        <v>310</v>
      </c>
      <c r="C190" s="397" t="s">
        <v>311</v>
      </c>
      <c r="D190" s="333">
        <v>1</v>
      </c>
      <c r="E190" s="230">
        <v>10.5</v>
      </c>
      <c r="F190" s="149">
        <f t="shared" si="40"/>
        <v>10.5</v>
      </c>
      <c r="G190" s="334">
        <v>50.43</v>
      </c>
      <c r="H190" s="149">
        <f t="shared" si="41"/>
        <v>128.09219999999999</v>
      </c>
      <c r="I190" s="115">
        <f t="shared" si="42"/>
        <v>1344.9680999999998</v>
      </c>
      <c r="J190" s="335">
        <v>0</v>
      </c>
      <c r="K190" s="115">
        <f t="shared" si="43"/>
        <v>0</v>
      </c>
      <c r="L190" s="336">
        <f t="shared" si="49"/>
        <v>50.43</v>
      </c>
      <c r="M190" s="149">
        <f t="shared" si="44"/>
        <v>128.09219999999999</v>
      </c>
      <c r="N190" s="115">
        <f t="shared" si="45"/>
        <v>0</v>
      </c>
      <c r="O190" s="337">
        <v>0.5</v>
      </c>
      <c r="P190" s="149">
        <f t="shared" si="46"/>
        <v>1.27</v>
      </c>
      <c r="Q190" s="115">
        <f t="shared" si="47"/>
        <v>13.335000000000001</v>
      </c>
      <c r="R190" s="149">
        <f t="shared" si="48"/>
        <v>0</v>
      </c>
      <c r="V190" s="115"/>
    </row>
    <row r="191" spans="1:22" s="8" customFormat="1" ht="16.5" customHeight="1">
      <c r="A191" s="10">
        <v>4</v>
      </c>
      <c r="B191" s="133" t="s">
        <v>312</v>
      </c>
      <c r="C191" s="397" t="s">
        <v>313</v>
      </c>
      <c r="D191" s="333">
        <v>1</v>
      </c>
      <c r="E191" s="230">
        <v>18.899999999999999</v>
      </c>
      <c r="F191" s="149">
        <f t="shared" si="40"/>
        <v>18.899999999999999</v>
      </c>
      <c r="G191" s="334">
        <v>48.79</v>
      </c>
      <c r="H191" s="149">
        <f t="shared" si="41"/>
        <v>123.92659999999999</v>
      </c>
      <c r="I191" s="115">
        <f t="shared" si="42"/>
        <v>2342.2127399999995</v>
      </c>
      <c r="J191" s="335">
        <v>0</v>
      </c>
      <c r="K191" s="115">
        <f t="shared" si="43"/>
        <v>0</v>
      </c>
      <c r="L191" s="336">
        <f t="shared" si="49"/>
        <v>48.79</v>
      </c>
      <c r="M191" s="149">
        <f t="shared" si="44"/>
        <v>123.92659999999999</v>
      </c>
      <c r="N191" s="115">
        <f t="shared" si="45"/>
        <v>0</v>
      </c>
      <c r="O191" s="337">
        <v>-0.5</v>
      </c>
      <c r="P191" s="149">
        <f t="shared" si="46"/>
        <v>-1.27</v>
      </c>
      <c r="Q191" s="115">
        <f t="shared" si="47"/>
        <v>-24.003</v>
      </c>
      <c r="R191" s="149">
        <f t="shared" si="48"/>
        <v>0</v>
      </c>
      <c r="V191" s="115"/>
    </row>
    <row r="192" spans="1:22" s="8" customFormat="1" ht="17.100000000000001" customHeight="1">
      <c r="A192" s="10">
        <v>4</v>
      </c>
      <c r="B192" s="133" t="s">
        <v>314</v>
      </c>
      <c r="C192" s="397" t="s">
        <v>315</v>
      </c>
      <c r="D192" s="333">
        <v>1</v>
      </c>
      <c r="E192" s="230">
        <v>3.3</v>
      </c>
      <c r="F192" s="149">
        <f t="shared" si="40"/>
        <v>3.3</v>
      </c>
      <c r="G192" s="334">
        <v>47</v>
      </c>
      <c r="H192" s="149">
        <f t="shared" si="41"/>
        <v>119.38</v>
      </c>
      <c r="I192" s="115">
        <f t="shared" si="42"/>
        <v>393.95399999999995</v>
      </c>
      <c r="J192" s="335">
        <v>0</v>
      </c>
      <c r="K192" s="115">
        <f t="shared" si="43"/>
        <v>0</v>
      </c>
      <c r="L192" s="336">
        <f t="shared" si="49"/>
        <v>47</v>
      </c>
      <c r="M192" s="149">
        <f t="shared" si="44"/>
        <v>119.38</v>
      </c>
      <c r="N192" s="115">
        <f t="shared" si="45"/>
        <v>0</v>
      </c>
      <c r="O192" s="337">
        <v>0</v>
      </c>
      <c r="P192" s="149">
        <f t="shared" si="46"/>
        <v>0</v>
      </c>
      <c r="Q192" s="115">
        <f t="shared" si="47"/>
        <v>0</v>
      </c>
      <c r="R192" s="149">
        <f t="shared" si="48"/>
        <v>0</v>
      </c>
      <c r="V192" s="115"/>
    </row>
    <row r="193" spans="1:22" s="8" customFormat="1" ht="17.100000000000001" customHeight="1">
      <c r="A193" s="10">
        <v>4</v>
      </c>
      <c r="B193" s="133" t="s">
        <v>316</v>
      </c>
      <c r="C193" s="397" t="s">
        <v>315</v>
      </c>
      <c r="D193" s="333">
        <v>1</v>
      </c>
      <c r="E193" s="230">
        <v>2.7</v>
      </c>
      <c r="F193" s="149">
        <f t="shared" si="40"/>
        <v>2.7</v>
      </c>
      <c r="G193" s="334">
        <v>47</v>
      </c>
      <c r="H193" s="149">
        <f t="shared" si="41"/>
        <v>119.38</v>
      </c>
      <c r="I193" s="115">
        <f t="shared" si="42"/>
        <v>322.32600000000002</v>
      </c>
      <c r="J193" s="335">
        <v>0</v>
      </c>
      <c r="K193" s="115">
        <f t="shared" si="43"/>
        <v>0</v>
      </c>
      <c r="L193" s="336">
        <f t="shared" si="49"/>
        <v>47</v>
      </c>
      <c r="M193" s="149">
        <f t="shared" si="44"/>
        <v>119.38</v>
      </c>
      <c r="N193" s="115">
        <f t="shared" si="45"/>
        <v>0</v>
      </c>
      <c r="O193" s="337">
        <v>0</v>
      </c>
      <c r="P193" s="149">
        <f t="shared" si="46"/>
        <v>0</v>
      </c>
      <c r="Q193" s="115">
        <f t="shared" si="47"/>
        <v>0</v>
      </c>
      <c r="R193" s="149">
        <f t="shared" si="48"/>
        <v>0</v>
      </c>
      <c r="V193" s="115"/>
    </row>
    <row r="194" spans="1:22" s="8" customFormat="1" ht="17.100000000000001" customHeight="1">
      <c r="A194" s="10">
        <v>4</v>
      </c>
      <c r="B194" s="133" t="s">
        <v>317</v>
      </c>
      <c r="C194" s="397" t="s">
        <v>318</v>
      </c>
      <c r="D194" s="333">
        <v>1</v>
      </c>
      <c r="E194" s="230">
        <v>22.6</v>
      </c>
      <c r="F194" s="149">
        <f t="shared" si="40"/>
        <v>22.6</v>
      </c>
      <c r="G194" s="334">
        <v>49.1</v>
      </c>
      <c r="H194" s="149">
        <f t="shared" si="41"/>
        <v>124.714</v>
      </c>
      <c r="I194" s="115">
        <f t="shared" si="42"/>
        <v>2818.5364</v>
      </c>
      <c r="J194" s="335">
        <v>0</v>
      </c>
      <c r="K194" s="115">
        <f t="shared" si="43"/>
        <v>0</v>
      </c>
      <c r="L194" s="336">
        <f t="shared" si="49"/>
        <v>49.1</v>
      </c>
      <c r="M194" s="149">
        <f t="shared" si="44"/>
        <v>124.714</v>
      </c>
      <c r="N194" s="115">
        <f t="shared" si="45"/>
        <v>0</v>
      </c>
      <c r="O194" s="337">
        <v>-0.5</v>
      </c>
      <c r="P194" s="149">
        <f t="shared" si="46"/>
        <v>-1.27</v>
      </c>
      <c r="Q194" s="115">
        <f t="shared" si="47"/>
        <v>-28.702000000000002</v>
      </c>
      <c r="R194" s="149">
        <f t="shared" si="48"/>
        <v>0</v>
      </c>
      <c r="V194" s="115"/>
    </row>
    <row r="195" spans="1:22" s="8" customFormat="1" ht="17.100000000000001" customHeight="1">
      <c r="A195" s="10">
        <v>4</v>
      </c>
      <c r="B195" s="133" t="s">
        <v>319</v>
      </c>
      <c r="C195" s="397" t="s">
        <v>320</v>
      </c>
      <c r="D195" s="333">
        <v>1</v>
      </c>
      <c r="E195" s="230">
        <v>16</v>
      </c>
      <c r="F195" s="149">
        <f t="shared" si="40"/>
        <v>16</v>
      </c>
      <c r="G195" s="334">
        <v>50.43</v>
      </c>
      <c r="H195" s="149">
        <f t="shared" si="41"/>
        <v>128.09219999999999</v>
      </c>
      <c r="I195" s="115">
        <f t="shared" si="42"/>
        <v>2049.4751999999999</v>
      </c>
      <c r="J195" s="335">
        <v>0</v>
      </c>
      <c r="K195" s="115">
        <f t="shared" si="43"/>
        <v>0</v>
      </c>
      <c r="L195" s="336">
        <f t="shared" si="49"/>
        <v>50.43</v>
      </c>
      <c r="M195" s="149">
        <f t="shared" si="44"/>
        <v>128.09219999999999</v>
      </c>
      <c r="N195" s="115">
        <f t="shared" si="45"/>
        <v>0</v>
      </c>
      <c r="O195" s="337">
        <v>-0.5</v>
      </c>
      <c r="P195" s="149">
        <f t="shared" si="46"/>
        <v>-1.27</v>
      </c>
      <c r="Q195" s="115">
        <f t="shared" si="47"/>
        <v>-20.32</v>
      </c>
      <c r="R195" s="149">
        <f t="shared" si="48"/>
        <v>0</v>
      </c>
      <c r="V195" s="115"/>
    </row>
    <row r="196" spans="1:22" s="8" customFormat="1" ht="17.100000000000001" customHeight="1">
      <c r="A196" s="10">
        <v>4</v>
      </c>
      <c r="B196" s="133" t="s">
        <v>321</v>
      </c>
      <c r="C196" s="397" t="s">
        <v>315</v>
      </c>
      <c r="D196" s="333">
        <v>1</v>
      </c>
      <c r="E196" s="230">
        <v>3.8</v>
      </c>
      <c r="F196" s="149">
        <f t="shared" si="40"/>
        <v>3.8</v>
      </c>
      <c r="G196" s="334">
        <v>47</v>
      </c>
      <c r="H196" s="149">
        <f t="shared" si="41"/>
        <v>119.38</v>
      </c>
      <c r="I196" s="115">
        <f t="shared" si="42"/>
        <v>453.64399999999995</v>
      </c>
      <c r="J196" s="335">
        <v>0</v>
      </c>
      <c r="K196" s="115">
        <f t="shared" si="43"/>
        <v>0</v>
      </c>
      <c r="L196" s="336">
        <f t="shared" si="49"/>
        <v>47</v>
      </c>
      <c r="M196" s="149">
        <f t="shared" si="44"/>
        <v>119.38</v>
      </c>
      <c r="N196" s="115">
        <f t="shared" si="45"/>
        <v>0</v>
      </c>
      <c r="O196" s="337">
        <v>0</v>
      </c>
      <c r="P196" s="149">
        <f t="shared" si="46"/>
        <v>0</v>
      </c>
      <c r="Q196" s="115">
        <f t="shared" si="47"/>
        <v>0</v>
      </c>
      <c r="R196" s="149">
        <f t="shared" si="48"/>
        <v>0</v>
      </c>
      <c r="V196" s="115"/>
    </row>
    <row r="197" spans="1:22" s="8" customFormat="1" ht="17.100000000000001" customHeight="1">
      <c r="A197" s="10">
        <v>4</v>
      </c>
      <c r="B197" s="398" t="s">
        <v>322</v>
      </c>
      <c r="C197" s="397" t="s">
        <v>323</v>
      </c>
      <c r="D197" s="333">
        <v>1</v>
      </c>
      <c r="E197" s="230">
        <v>18.8</v>
      </c>
      <c r="F197" s="149">
        <f t="shared" si="40"/>
        <v>18.8</v>
      </c>
      <c r="G197" s="334">
        <v>49.3</v>
      </c>
      <c r="H197" s="149">
        <f t="shared" si="41"/>
        <v>125.22199999999999</v>
      </c>
      <c r="I197" s="115">
        <f t="shared" si="42"/>
        <v>2354.1736000000001</v>
      </c>
      <c r="J197" s="335">
        <v>0</v>
      </c>
      <c r="K197" s="115">
        <f t="shared" si="43"/>
        <v>0</v>
      </c>
      <c r="L197" s="336">
        <f t="shared" si="49"/>
        <v>49.3</v>
      </c>
      <c r="M197" s="149">
        <f t="shared" si="44"/>
        <v>125.22199999999999</v>
      </c>
      <c r="N197" s="115">
        <f t="shared" si="45"/>
        <v>0</v>
      </c>
      <c r="O197" s="337">
        <v>0</v>
      </c>
      <c r="P197" s="149">
        <f t="shared" si="46"/>
        <v>0</v>
      </c>
      <c r="Q197" s="115">
        <f t="shared" si="47"/>
        <v>0</v>
      </c>
      <c r="R197" s="149">
        <f t="shared" si="48"/>
        <v>0</v>
      </c>
      <c r="V197" s="115"/>
    </row>
    <row r="198" spans="1:22" s="8" customFormat="1" ht="16.5" customHeight="1">
      <c r="A198" s="10">
        <v>4</v>
      </c>
      <c r="B198" s="133" t="s">
        <v>440</v>
      </c>
      <c r="C198" s="397" t="s">
        <v>315</v>
      </c>
      <c r="D198" s="333">
        <v>1</v>
      </c>
      <c r="E198" s="230">
        <v>1.8</v>
      </c>
      <c r="F198" s="149">
        <f t="shared" si="40"/>
        <v>1.8</v>
      </c>
      <c r="G198" s="334">
        <v>47</v>
      </c>
      <c r="H198" s="149">
        <f t="shared" si="41"/>
        <v>119.38</v>
      </c>
      <c r="I198" s="115">
        <f t="shared" si="42"/>
        <v>214.88399999999999</v>
      </c>
      <c r="J198" s="335">
        <v>0</v>
      </c>
      <c r="K198" s="115">
        <f t="shared" si="43"/>
        <v>0</v>
      </c>
      <c r="L198" s="336">
        <f t="shared" si="49"/>
        <v>47</v>
      </c>
      <c r="M198" s="149">
        <f t="shared" si="44"/>
        <v>119.38</v>
      </c>
      <c r="N198" s="115">
        <f t="shared" si="45"/>
        <v>0</v>
      </c>
      <c r="O198" s="337">
        <v>0</v>
      </c>
      <c r="P198" s="149">
        <f t="shared" si="46"/>
        <v>0</v>
      </c>
      <c r="Q198" s="115">
        <f t="shared" si="47"/>
        <v>0</v>
      </c>
      <c r="R198" s="149">
        <f t="shared" si="48"/>
        <v>0</v>
      </c>
      <c r="V198" s="115"/>
    </row>
    <row r="199" spans="1:22" s="8" customFormat="1" ht="17.100000000000001" customHeight="1">
      <c r="A199" s="10">
        <v>4</v>
      </c>
      <c r="B199" s="133" t="s">
        <v>441</v>
      </c>
      <c r="C199" s="10">
        <v>52350</v>
      </c>
      <c r="D199" s="333">
        <v>1</v>
      </c>
      <c r="E199" s="230">
        <v>0.9</v>
      </c>
      <c r="F199" s="149">
        <f t="shared" si="40"/>
        <v>0.9</v>
      </c>
      <c r="G199" s="334">
        <v>50.9</v>
      </c>
      <c r="H199" s="149">
        <f t="shared" si="41"/>
        <v>129.286</v>
      </c>
      <c r="I199" s="115">
        <f t="shared" si="42"/>
        <v>116.3574</v>
      </c>
      <c r="J199" s="335">
        <v>0</v>
      </c>
      <c r="K199" s="115">
        <f t="shared" si="43"/>
        <v>0</v>
      </c>
      <c r="L199" s="336">
        <f t="shared" si="49"/>
        <v>50.9</v>
      </c>
      <c r="M199" s="149">
        <f t="shared" si="44"/>
        <v>129.286</v>
      </c>
      <c r="N199" s="115">
        <f t="shared" si="45"/>
        <v>0</v>
      </c>
      <c r="O199" s="337">
        <v>0</v>
      </c>
      <c r="P199" s="149">
        <f t="shared" si="46"/>
        <v>0</v>
      </c>
      <c r="Q199" s="115">
        <f t="shared" si="47"/>
        <v>0</v>
      </c>
      <c r="R199" s="149">
        <f t="shared" si="48"/>
        <v>0</v>
      </c>
      <c r="V199" s="115"/>
    </row>
    <row r="200" spans="1:22" s="8" customFormat="1" ht="17.100000000000001" customHeight="1">
      <c r="A200" s="10">
        <v>4</v>
      </c>
      <c r="B200" s="133" t="s">
        <v>442</v>
      </c>
      <c r="C200" s="10">
        <v>52349</v>
      </c>
      <c r="D200" s="333">
        <v>1</v>
      </c>
      <c r="E200" s="230">
        <v>7.8</v>
      </c>
      <c r="F200" s="149">
        <f t="shared" si="40"/>
        <v>7.8</v>
      </c>
      <c r="G200" s="334">
        <v>51.04</v>
      </c>
      <c r="H200" s="149">
        <f t="shared" si="41"/>
        <v>129.64160000000001</v>
      </c>
      <c r="I200" s="115">
        <f t="shared" si="42"/>
        <v>1011.2044800000001</v>
      </c>
      <c r="J200" s="335">
        <v>0</v>
      </c>
      <c r="K200" s="115">
        <f t="shared" si="43"/>
        <v>0</v>
      </c>
      <c r="L200" s="336">
        <f t="shared" si="49"/>
        <v>51.04</v>
      </c>
      <c r="M200" s="149">
        <f t="shared" si="44"/>
        <v>129.64160000000001</v>
      </c>
      <c r="N200" s="115">
        <f t="shared" si="45"/>
        <v>0</v>
      </c>
      <c r="O200" s="337">
        <v>0</v>
      </c>
      <c r="P200" s="149">
        <f t="shared" si="46"/>
        <v>0</v>
      </c>
      <c r="Q200" s="115">
        <f t="shared" si="47"/>
        <v>0</v>
      </c>
      <c r="R200" s="149">
        <f t="shared" si="48"/>
        <v>0</v>
      </c>
      <c r="V200" s="115"/>
    </row>
    <row r="201" spans="1:22" s="8" customFormat="1" ht="17.100000000000001" customHeight="1">
      <c r="A201" s="10">
        <v>4</v>
      </c>
      <c r="B201" s="133" t="s">
        <v>443</v>
      </c>
      <c r="C201" s="397" t="s">
        <v>444</v>
      </c>
      <c r="D201" s="333">
        <v>1</v>
      </c>
      <c r="E201" s="230">
        <v>315.60000000000002</v>
      </c>
      <c r="F201" s="149">
        <f t="shared" si="40"/>
        <v>315.60000000000002</v>
      </c>
      <c r="G201" s="334">
        <v>49.58</v>
      </c>
      <c r="H201" s="149">
        <f t="shared" si="41"/>
        <v>125.9332</v>
      </c>
      <c r="I201" s="115">
        <f t="shared" si="42"/>
        <v>39744.517920000006</v>
      </c>
      <c r="J201" s="335">
        <v>0</v>
      </c>
      <c r="K201" s="115">
        <f t="shared" si="43"/>
        <v>0</v>
      </c>
      <c r="L201" s="336">
        <f t="shared" si="49"/>
        <v>49.58</v>
      </c>
      <c r="M201" s="149">
        <f t="shared" si="44"/>
        <v>125.9332</v>
      </c>
      <c r="N201" s="115">
        <f t="shared" si="45"/>
        <v>0</v>
      </c>
      <c r="O201" s="337">
        <v>0</v>
      </c>
      <c r="P201" s="149">
        <f t="shared" si="46"/>
        <v>0</v>
      </c>
      <c r="Q201" s="115">
        <f t="shared" si="47"/>
        <v>0</v>
      </c>
      <c r="R201" s="149">
        <f t="shared" si="48"/>
        <v>0</v>
      </c>
      <c r="V201" s="115"/>
    </row>
    <row r="202" spans="1:22" s="8" customFormat="1" ht="17.100000000000001" customHeight="1">
      <c r="A202" s="10">
        <v>4</v>
      </c>
      <c r="B202" s="398" t="s">
        <v>445</v>
      </c>
      <c r="C202" s="10">
        <v>49803</v>
      </c>
      <c r="D202" s="333">
        <v>1</v>
      </c>
      <c r="E202" s="230">
        <v>110.4</v>
      </c>
      <c r="F202" s="149">
        <f t="shared" si="40"/>
        <v>110.4</v>
      </c>
      <c r="G202" s="334">
        <v>47.72</v>
      </c>
      <c r="H202" s="149">
        <f t="shared" si="41"/>
        <v>121.2088</v>
      </c>
      <c r="I202" s="115">
        <f t="shared" si="42"/>
        <v>13381.451520000001</v>
      </c>
      <c r="J202" s="335">
        <v>0</v>
      </c>
      <c r="K202" s="115">
        <f t="shared" si="43"/>
        <v>0</v>
      </c>
      <c r="L202" s="336">
        <f t="shared" si="49"/>
        <v>47.72</v>
      </c>
      <c r="M202" s="149">
        <f t="shared" si="44"/>
        <v>121.2088</v>
      </c>
      <c r="N202" s="115">
        <f t="shared" si="45"/>
        <v>0</v>
      </c>
      <c r="O202" s="337">
        <v>0</v>
      </c>
      <c r="P202" s="149">
        <f t="shared" si="46"/>
        <v>0</v>
      </c>
      <c r="Q202" s="115">
        <f t="shared" si="47"/>
        <v>0</v>
      </c>
      <c r="R202" s="149">
        <f t="shared" si="48"/>
        <v>0</v>
      </c>
      <c r="V202" s="115"/>
    </row>
    <row r="203" spans="1:22" s="8" customFormat="1" ht="17.100000000000001" customHeight="1">
      <c r="A203" s="10">
        <v>4</v>
      </c>
      <c r="B203" s="133" t="s">
        <v>446</v>
      </c>
      <c r="C203" s="397" t="s">
        <v>447</v>
      </c>
      <c r="D203" s="333">
        <v>1</v>
      </c>
      <c r="E203" s="230">
        <v>3.2</v>
      </c>
      <c r="F203" s="149">
        <f t="shared" si="40"/>
        <v>3.2</v>
      </c>
      <c r="G203" s="334">
        <v>47.69</v>
      </c>
      <c r="H203" s="149">
        <f t="shared" si="41"/>
        <v>121.1326</v>
      </c>
      <c r="I203" s="115">
        <f t="shared" si="42"/>
        <v>387.62432000000001</v>
      </c>
      <c r="J203" s="335">
        <v>0</v>
      </c>
      <c r="K203" s="115">
        <f t="shared" si="43"/>
        <v>0</v>
      </c>
      <c r="L203" s="336">
        <f t="shared" si="49"/>
        <v>47.69</v>
      </c>
      <c r="M203" s="149">
        <f t="shared" si="44"/>
        <v>121.1326</v>
      </c>
      <c r="N203" s="115">
        <f t="shared" si="45"/>
        <v>0</v>
      </c>
      <c r="O203" s="337">
        <v>0</v>
      </c>
      <c r="P203" s="149">
        <f t="shared" si="46"/>
        <v>0</v>
      </c>
      <c r="Q203" s="115">
        <f t="shared" si="47"/>
        <v>0</v>
      </c>
      <c r="R203" s="149">
        <f t="shared" si="48"/>
        <v>0</v>
      </c>
      <c r="V203" s="115"/>
    </row>
    <row r="204" spans="1:22" s="8" customFormat="1" ht="16.5" customHeight="1">
      <c r="A204" s="10">
        <v>4</v>
      </c>
      <c r="B204" s="398" t="s">
        <v>448</v>
      </c>
      <c r="C204" s="397" t="s">
        <v>449</v>
      </c>
      <c r="D204" s="333">
        <v>1</v>
      </c>
      <c r="E204" s="230">
        <v>0.5</v>
      </c>
      <c r="F204" s="149">
        <f t="shared" si="40"/>
        <v>0.5</v>
      </c>
      <c r="G204" s="334">
        <v>48.23</v>
      </c>
      <c r="H204" s="149">
        <f t="shared" si="41"/>
        <v>122.5042</v>
      </c>
      <c r="I204" s="115">
        <f t="shared" si="42"/>
        <v>61.252099999999999</v>
      </c>
      <c r="J204" s="335">
        <v>0</v>
      </c>
      <c r="K204" s="115">
        <f t="shared" si="43"/>
        <v>0</v>
      </c>
      <c r="L204" s="336">
        <f t="shared" si="49"/>
        <v>48.23</v>
      </c>
      <c r="M204" s="149">
        <f t="shared" si="44"/>
        <v>122.5042</v>
      </c>
      <c r="N204" s="115">
        <f t="shared" si="45"/>
        <v>0</v>
      </c>
      <c r="O204" s="337">
        <v>0</v>
      </c>
      <c r="P204" s="149">
        <f t="shared" si="46"/>
        <v>0</v>
      </c>
      <c r="Q204" s="115">
        <f t="shared" si="47"/>
        <v>0</v>
      </c>
      <c r="R204" s="149">
        <f t="shared" si="48"/>
        <v>0</v>
      </c>
      <c r="V204" s="115"/>
    </row>
    <row r="205" spans="1:22" s="8" customFormat="1" ht="17.100000000000001" customHeight="1">
      <c r="A205" s="10">
        <v>4</v>
      </c>
      <c r="B205" s="133" t="s">
        <v>450</v>
      </c>
      <c r="C205" s="397" t="s">
        <v>451</v>
      </c>
      <c r="D205" s="333">
        <v>1</v>
      </c>
      <c r="E205" s="230">
        <v>16.100000000000001</v>
      </c>
      <c r="F205" s="149">
        <f t="shared" si="40"/>
        <v>16.100000000000001</v>
      </c>
      <c r="G205" s="334">
        <v>47.75</v>
      </c>
      <c r="H205" s="149">
        <f t="shared" si="41"/>
        <v>121.285</v>
      </c>
      <c r="I205" s="115">
        <f t="shared" si="42"/>
        <v>1952.6885000000002</v>
      </c>
      <c r="J205" s="335">
        <v>0</v>
      </c>
      <c r="K205" s="115">
        <f t="shared" si="43"/>
        <v>0</v>
      </c>
      <c r="L205" s="336">
        <f t="shared" si="49"/>
        <v>47.75</v>
      </c>
      <c r="M205" s="149">
        <f t="shared" si="44"/>
        <v>121.285</v>
      </c>
      <c r="N205" s="115">
        <f t="shared" si="45"/>
        <v>0</v>
      </c>
      <c r="O205" s="337">
        <v>1.1499999999999999</v>
      </c>
      <c r="P205" s="149">
        <f t="shared" si="46"/>
        <v>2.9209999999999998</v>
      </c>
      <c r="Q205" s="115">
        <f t="shared" si="47"/>
        <v>47.028100000000002</v>
      </c>
      <c r="R205" s="149">
        <f t="shared" si="48"/>
        <v>0</v>
      </c>
      <c r="V205" s="115"/>
    </row>
    <row r="206" spans="1:22" s="8" customFormat="1" ht="17.100000000000001" customHeight="1">
      <c r="A206" s="10">
        <v>4</v>
      </c>
      <c r="B206" s="133" t="s">
        <v>452</v>
      </c>
      <c r="C206" s="397" t="s">
        <v>453</v>
      </c>
      <c r="D206" s="333">
        <v>1</v>
      </c>
      <c r="E206" s="230">
        <v>0.9</v>
      </c>
      <c r="F206" s="149">
        <f t="shared" si="40"/>
        <v>0.9</v>
      </c>
      <c r="G206" s="334">
        <v>45.17</v>
      </c>
      <c r="H206" s="149">
        <f t="shared" si="41"/>
        <v>114.73180000000001</v>
      </c>
      <c r="I206" s="115">
        <f t="shared" si="42"/>
        <v>103.25862000000001</v>
      </c>
      <c r="J206" s="335">
        <v>0</v>
      </c>
      <c r="K206" s="115">
        <f t="shared" si="43"/>
        <v>0</v>
      </c>
      <c r="L206" s="336">
        <f t="shared" si="49"/>
        <v>45.17</v>
      </c>
      <c r="M206" s="149">
        <f t="shared" si="44"/>
        <v>114.73180000000001</v>
      </c>
      <c r="N206" s="115">
        <f t="shared" si="45"/>
        <v>0</v>
      </c>
      <c r="O206" s="337">
        <v>0</v>
      </c>
      <c r="P206" s="149">
        <f t="shared" si="46"/>
        <v>0</v>
      </c>
      <c r="Q206" s="115">
        <f t="shared" si="47"/>
        <v>0</v>
      </c>
      <c r="R206" s="149">
        <f t="shared" si="48"/>
        <v>0</v>
      </c>
      <c r="V206" s="115"/>
    </row>
    <row r="207" spans="1:22" s="8" customFormat="1" ht="17.100000000000001" customHeight="1">
      <c r="A207" s="10">
        <v>4</v>
      </c>
      <c r="B207" s="133" t="s">
        <v>454</v>
      </c>
      <c r="C207" s="397" t="s">
        <v>455</v>
      </c>
      <c r="D207" s="333">
        <v>1</v>
      </c>
      <c r="E207" s="230">
        <v>14</v>
      </c>
      <c r="F207" s="149">
        <f t="shared" si="40"/>
        <v>14</v>
      </c>
      <c r="G207" s="334">
        <v>47.69</v>
      </c>
      <c r="H207" s="149">
        <f t="shared" si="41"/>
        <v>121.1326</v>
      </c>
      <c r="I207" s="115">
        <f t="shared" si="42"/>
        <v>1695.8563999999999</v>
      </c>
      <c r="J207" s="335">
        <v>0</v>
      </c>
      <c r="K207" s="115">
        <f t="shared" si="43"/>
        <v>0</v>
      </c>
      <c r="L207" s="336">
        <f t="shared" si="49"/>
        <v>47.69</v>
      </c>
      <c r="M207" s="149">
        <f t="shared" si="44"/>
        <v>121.1326</v>
      </c>
      <c r="N207" s="115">
        <f t="shared" si="45"/>
        <v>0</v>
      </c>
      <c r="O207" s="337">
        <v>0</v>
      </c>
      <c r="P207" s="149">
        <f t="shared" si="46"/>
        <v>0</v>
      </c>
      <c r="Q207" s="115">
        <f t="shared" si="47"/>
        <v>0</v>
      </c>
      <c r="R207" s="149">
        <f t="shared" si="48"/>
        <v>0</v>
      </c>
      <c r="V207" s="115"/>
    </row>
    <row r="208" spans="1:22" s="8" customFormat="1" ht="17.100000000000001" customHeight="1">
      <c r="A208" s="10">
        <v>4</v>
      </c>
      <c r="B208" s="133" t="s">
        <v>456</v>
      </c>
      <c r="C208" s="397" t="s">
        <v>411</v>
      </c>
      <c r="D208" s="333">
        <v>1</v>
      </c>
      <c r="E208" s="230">
        <v>7.8</v>
      </c>
      <c r="F208" s="149">
        <f t="shared" si="40"/>
        <v>7.8</v>
      </c>
      <c r="G208" s="334">
        <v>48.12</v>
      </c>
      <c r="H208" s="149">
        <f t="shared" si="41"/>
        <v>122.2248</v>
      </c>
      <c r="I208" s="115">
        <f t="shared" si="42"/>
        <v>953.35343999999998</v>
      </c>
      <c r="J208" s="335">
        <v>0</v>
      </c>
      <c r="K208" s="115">
        <f t="shared" si="43"/>
        <v>0</v>
      </c>
      <c r="L208" s="336">
        <f t="shared" si="49"/>
        <v>48.12</v>
      </c>
      <c r="M208" s="149">
        <f t="shared" si="44"/>
        <v>122.2248</v>
      </c>
      <c r="N208" s="115">
        <f t="shared" si="45"/>
        <v>0</v>
      </c>
      <c r="O208" s="337">
        <v>0</v>
      </c>
      <c r="P208" s="149">
        <f t="shared" si="46"/>
        <v>0</v>
      </c>
      <c r="Q208" s="115">
        <f t="shared" si="47"/>
        <v>0</v>
      </c>
      <c r="R208" s="149">
        <f t="shared" si="48"/>
        <v>0</v>
      </c>
      <c r="V208" s="115"/>
    </row>
    <row r="209" spans="1:22" s="8" customFormat="1" ht="17.100000000000001" customHeight="1">
      <c r="A209" s="10">
        <v>4</v>
      </c>
      <c r="B209" s="133" t="s">
        <v>575</v>
      </c>
      <c r="C209" s="397" t="s">
        <v>576</v>
      </c>
      <c r="D209" s="333">
        <v>1</v>
      </c>
      <c r="E209" s="230">
        <v>0.4</v>
      </c>
      <c r="F209" s="149">
        <f t="shared" si="40"/>
        <v>0.4</v>
      </c>
      <c r="G209" s="334">
        <v>51.512</v>
      </c>
      <c r="H209" s="149">
        <f t="shared" si="41"/>
        <v>130.84048000000001</v>
      </c>
      <c r="I209" s="115">
        <f t="shared" si="42"/>
        <v>52.336192000000011</v>
      </c>
      <c r="J209" s="253">
        <v>0</v>
      </c>
      <c r="K209" s="115">
        <f t="shared" si="43"/>
        <v>0</v>
      </c>
      <c r="L209" s="336">
        <f t="shared" si="49"/>
        <v>51.512</v>
      </c>
      <c r="M209" s="149">
        <f t="shared" si="44"/>
        <v>130.84048000000001</v>
      </c>
      <c r="N209" s="115">
        <f t="shared" si="45"/>
        <v>0</v>
      </c>
      <c r="O209" s="337">
        <v>-0.5</v>
      </c>
      <c r="P209" s="149">
        <f t="shared" si="46"/>
        <v>-1.27</v>
      </c>
      <c r="Q209" s="115">
        <f t="shared" si="47"/>
        <v>-0.50800000000000001</v>
      </c>
      <c r="R209" s="149">
        <f t="shared" si="48"/>
        <v>0</v>
      </c>
      <c r="V209" s="115"/>
    </row>
    <row r="210" spans="1:22" s="8" customFormat="1" ht="17.100000000000001" customHeight="1">
      <c r="A210" s="10">
        <v>4</v>
      </c>
      <c r="B210" s="399" t="s">
        <v>577</v>
      </c>
      <c r="C210" s="400" t="s">
        <v>578</v>
      </c>
      <c r="D210" s="143">
        <v>1</v>
      </c>
      <c r="E210" s="230">
        <v>47.7</v>
      </c>
      <c r="F210" s="149">
        <f t="shared" si="40"/>
        <v>47.7</v>
      </c>
      <c r="G210" s="334">
        <v>52.47</v>
      </c>
      <c r="H210" s="149">
        <f t="shared" si="41"/>
        <v>133.27379999999999</v>
      </c>
      <c r="I210" s="401">
        <f t="shared" si="42"/>
        <v>6357.1602599999997</v>
      </c>
      <c r="J210" s="254">
        <v>0</v>
      </c>
      <c r="K210" s="149">
        <f t="shared" si="43"/>
        <v>0</v>
      </c>
      <c r="L210" s="336">
        <f t="shared" si="49"/>
        <v>52.47</v>
      </c>
      <c r="M210" s="149">
        <f t="shared" si="44"/>
        <v>133.27379999999999</v>
      </c>
      <c r="N210" s="115"/>
      <c r="O210" s="337">
        <v>0</v>
      </c>
      <c r="P210" s="149">
        <f t="shared" si="46"/>
        <v>0</v>
      </c>
      <c r="Q210" s="115">
        <f t="shared" si="47"/>
        <v>0</v>
      </c>
      <c r="R210" s="149">
        <f t="shared" si="48"/>
        <v>0</v>
      </c>
      <c r="V210" s="115"/>
    </row>
    <row r="211" spans="1:22" s="8" customFormat="1" ht="17.100000000000001" customHeight="1">
      <c r="A211" s="10">
        <v>4</v>
      </c>
      <c r="B211" s="133" t="s">
        <v>579</v>
      </c>
      <c r="C211" s="397" t="s">
        <v>580</v>
      </c>
      <c r="D211" s="333">
        <v>1</v>
      </c>
      <c r="E211" s="230">
        <v>113.7</v>
      </c>
      <c r="F211" s="402">
        <f>E211*D211+(Oil_wt_2-(C20*Cal!D42*Oil_density))</f>
        <v>682.03796734916591</v>
      </c>
      <c r="G211" s="334">
        <v>54.613</v>
      </c>
      <c r="H211" s="149">
        <f t="shared" si="41"/>
        <v>138.71701999999999</v>
      </c>
      <c r="I211" s="115">
        <f t="shared" si="42"/>
        <v>94610.274357533592</v>
      </c>
      <c r="J211" s="403">
        <f>Total_Oil_Vol-C20*Cal!D42+E211/1</f>
        <v>804.35253050086999</v>
      </c>
      <c r="K211" s="115">
        <f t="shared" si="43"/>
        <v>804.35253050086999</v>
      </c>
      <c r="L211" s="404">
        <v>54.613</v>
      </c>
      <c r="M211" s="149">
        <f t="shared" si="44"/>
        <v>138.71701999999999</v>
      </c>
      <c r="N211" s="115">
        <f t="shared" ref="N211:N234" si="50">K211*M211</f>
        <v>111577.38606053978</v>
      </c>
      <c r="O211" s="337">
        <v>0</v>
      </c>
      <c r="P211" s="149">
        <f t="shared" si="46"/>
        <v>0</v>
      </c>
      <c r="Q211" s="115">
        <f t="shared" si="47"/>
        <v>0</v>
      </c>
      <c r="R211" s="149">
        <f t="shared" si="48"/>
        <v>0</v>
      </c>
      <c r="S211" s="405"/>
      <c r="V211" s="115"/>
    </row>
    <row r="212" spans="1:22" s="8" customFormat="1" ht="17.100000000000001" customHeight="1">
      <c r="A212" s="10">
        <v>4</v>
      </c>
      <c r="B212" s="133" t="s">
        <v>581</v>
      </c>
      <c r="C212" s="397" t="s">
        <v>582</v>
      </c>
      <c r="D212" s="333">
        <v>1</v>
      </c>
      <c r="E212" s="230">
        <v>109</v>
      </c>
      <c r="F212" s="149">
        <f t="shared" ref="F212:F234" si="51">E212*D212</f>
        <v>109</v>
      </c>
      <c r="G212" s="334">
        <v>51.6</v>
      </c>
      <c r="H212" s="149">
        <f t="shared" si="41"/>
        <v>131.06399999999999</v>
      </c>
      <c r="I212" s="115">
        <f t="shared" si="42"/>
        <v>14285.975999999999</v>
      </c>
      <c r="J212" s="253">
        <f>E212/Alum_density</f>
        <v>40.176925912274235</v>
      </c>
      <c r="K212" s="115">
        <f t="shared" si="43"/>
        <v>40.176925912274235</v>
      </c>
      <c r="L212" s="336">
        <f t="shared" ref="L212:L234" si="52">G212</f>
        <v>51.6</v>
      </c>
      <c r="M212" s="149">
        <f t="shared" si="44"/>
        <v>131.06399999999999</v>
      </c>
      <c r="N212" s="115">
        <f t="shared" si="50"/>
        <v>5265.7486177663104</v>
      </c>
      <c r="O212" s="337">
        <v>0</v>
      </c>
      <c r="P212" s="149">
        <f t="shared" si="46"/>
        <v>0</v>
      </c>
      <c r="Q212" s="115">
        <f t="shared" si="47"/>
        <v>0</v>
      </c>
      <c r="R212" s="149">
        <f t="shared" si="48"/>
        <v>0</v>
      </c>
      <c r="V212" s="115"/>
    </row>
    <row r="213" spans="1:22" s="8" customFormat="1" ht="17.100000000000001" customHeight="1">
      <c r="A213" s="10">
        <v>4</v>
      </c>
      <c r="B213" s="133" t="s">
        <v>583</v>
      </c>
      <c r="C213" s="10">
        <v>52160</v>
      </c>
      <c r="D213" s="333">
        <v>1</v>
      </c>
      <c r="E213" s="385">
        <v>13.2</v>
      </c>
      <c r="F213" s="149">
        <f t="shared" si="51"/>
        <v>13.2</v>
      </c>
      <c r="G213" s="334">
        <v>51.512</v>
      </c>
      <c r="H213" s="149">
        <f t="shared" si="41"/>
        <v>130.84048000000001</v>
      </c>
      <c r="I213" s="115">
        <f t="shared" si="42"/>
        <v>1727.0943360000001</v>
      </c>
      <c r="J213" s="253">
        <v>0.79300000000000004</v>
      </c>
      <c r="K213" s="149">
        <f t="shared" si="43"/>
        <v>0.79300000000000004</v>
      </c>
      <c r="L213" s="149">
        <f t="shared" si="52"/>
        <v>51.512</v>
      </c>
      <c r="M213" s="149">
        <f t="shared" si="44"/>
        <v>130.84048000000001</v>
      </c>
      <c r="N213" s="115">
        <f t="shared" si="50"/>
        <v>103.75650064000001</v>
      </c>
      <c r="O213" s="337">
        <v>2</v>
      </c>
      <c r="P213" s="149">
        <f t="shared" si="46"/>
        <v>5.08</v>
      </c>
      <c r="Q213" s="115">
        <f t="shared" si="47"/>
        <v>67.055999999999997</v>
      </c>
      <c r="R213" s="149">
        <f t="shared" si="48"/>
        <v>4.0284400000000007</v>
      </c>
      <c r="V213" s="115"/>
    </row>
    <row r="214" spans="1:22" s="8" customFormat="1" ht="17.100000000000001" customHeight="1">
      <c r="A214" s="10">
        <v>4</v>
      </c>
      <c r="B214" s="133" t="s">
        <v>584</v>
      </c>
      <c r="C214" s="10">
        <v>52160</v>
      </c>
      <c r="D214" s="333">
        <v>1</v>
      </c>
      <c r="E214" s="385">
        <v>12.6</v>
      </c>
      <c r="F214" s="149">
        <f t="shared" si="51"/>
        <v>12.6</v>
      </c>
      <c r="G214" s="334">
        <v>51.512</v>
      </c>
      <c r="H214" s="149">
        <f t="shared" si="41"/>
        <v>130.84048000000001</v>
      </c>
      <c r="I214" s="115">
        <f t="shared" si="42"/>
        <v>1648.590048</v>
      </c>
      <c r="J214" s="253">
        <v>0.79300000000000004</v>
      </c>
      <c r="K214" s="149">
        <f t="shared" si="43"/>
        <v>0.79300000000000004</v>
      </c>
      <c r="L214" s="149">
        <f t="shared" si="52"/>
        <v>51.512</v>
      </c>
      <c r="M214" s="149">
        <f t="shared" si="44"/>
        <v>130.84048000000001</v>
      </c>
      <c r="N214" s="115">
        <f t="shared" si="50"/>
        <v>103.75650064000001</v>
      </c>
      <c r="O214" s="337">
        <v>1.125</v>
      </c>
      <c r="P214" s="149">
        <f t="shared" si="46"/>
        <v>2.8574999999999999</v>
      </c>
      <c r="Q214" s="115">
        <f t="shared" si="47"/>
        <v>36.0045</v>
      </c>
      <c r="R214" s="149">
        <f t="shared" si="48"/>
        <v>2.2659975000000001</v>
      </c>
      <c r="V214" s="115"/>
    </row>
    <row r="215" spans="1:22" s="8" customFormat="1" ht="17.100000000000001" customHeight="1">
      <c r="A215" s="10">
        <v>4</v>
      </c>
      <c r="B215" s="133" t="s">
        <v>585</v>
      </c>
      <c r="C215" s="10">
        <v>52160</v>
      </c>
      <c r="D215" s="333">
        <v>1</v>
      </c>
      <c r="E215" s="385">
        <v>12.6</v>
      </c>
      <c r="F215" s="149">
        <f t="shared" si="51"/>
        <v>12.6</v>
      </c>
      <c r="G215" s="334">
        <v>51.512</v>
      </c>
      <c r="H215" s="149">
        <f t="shared" si="41"/>
        <v>130.84048000000001</v>
      </c>
      <c r="I215" s="115">
        <f t="shared" si="42"/>
        <v>1648.590048</v>
      </c>
      <c r="J215" s="253">
        <v>0.79300000000000004</v>
      </c>
      <c r="K215" s="149">
        <f t="shared" si="43"/>
        <v>0.79300000000000004</v>
      </c>
      <c r="L215" s="149">
        <f t="shared" si="52"/>
        <v>51.512</v>
      </c>
      <c r="M215" s="149">
        <f t="shared" si="44"/>
        <v>130.84048000000001</v>
      </c>
      <c r="N215" s="115">
        <f t="shared" si="50"/>
        <v>103.75650064000001</v>
      </c>
      <c r="O215" s="337">
        <v>0</v>
      </c>
      <c r="P215" s="149">
        <f t="shared" si="46"/>
        <v>0</v>
      </c>
      <c r="Q215" s="115">
        <f t="shared" si="47"/>
        <v>0</v>
      </c>
      <c r="R215" s="149">
        <f t="shared" si="48"/>
        <v>0</v>
      </c>
      <c r="V215" s="115"/>
    </row>
    <row r="216" spans="1:22" s="8" customFormat="1" ht="17.100000000000001" customHeight="1">
      <c r="A216" s="10">
        <v>4</v>
      </c>
      <c r="B216" s="133" t="s">
        <v>586</v>
      </c>
      <c r="C216" s="10">
        <v>52160</v>
      </c>
      <c r="D216" s="333">
        <v>1</v>
      </c>
      <c r="E216" s="385">
        <v>12.6</v>
      </c>
      <c r="F216" s="149">
        <f t="shared" si="51"/>
        <v>12.6</v>
      </c>
      <c r="G216" s="334">
        <v>51.512</v>
      </c>
      <c r="H216" s="149">
        <f t="shared" si="41"/>
        <v>130.84048000000001</v>
      </c>
      <c r="I216" s="115">
        <f t="shared" si="42"/>
        <v>1648.590048</v>
      </c>
      <c r="J216" s="253">
        <v>0.79300000000000004</v>
      </c>
      <c r="K216" s="149">
        <f t="shared" si="43"/>
        <v>0.79300000000000004</v>
      </c>
      <c r="L216" s="149">
        <f t="shared" si="52"/>
        <v>51.512</v>
      </c>
      <c r="M216" s="149">
        <f t="shared" si="44"/>
        <v>130.84048000000001</v>
      </c>
      <c r="N216" s="115">
        <f t="shared" si="50"/>
        <v>103.75650064000001</v>
      </c>
      <c r="O216" s="337">
        <v>-1.125</v>
      </c>
      <c r="P216" s="149">
        <f t="shared" si="46"/>
        <v>-2.8574999999999999</v>
      </c>
      <c r="Q216" s="115">
        <f t="shared" si="47"/>
        <v>-36.0045</v>
      </c>
      <c r="R216" s="149">
        <f t="shared" si="48"/>
        <v>-2.2659975000000001</v>
      </c>
      <c r="V216" s="115"/>
    </row>
    <row r="217" spans="1:22" s="8" customFormat="1" ht="17.100000000000001" customHeight="1">
      <c r="A217" s="10">
        <v>4</v>
      </c>
      <c r="B217" s="133" t="s">
        <v>587</v>
      </c>
      <c r="C217" s="10">
        <v>52160</v>
      </c>
      <c r="D217" s="333">
        <v>1</v>
      </c>
      <c r="E217" s="385">
        <v>12.6</v>
      </c>
      <c r="F217" s="149">
        <f t="shared" si="51"/>
        <v>12.6</v>
      </c>
      <c r="G217" s="334">
        <v>51.512</v>
      </c>
      <c r="H217" s="149">
        <f t="shared" ref="H217:H234" si="53">G217*2.54</f>
        <v>130.84048000000001</v>
      </c>
      <c r="I217" s="115">
        <f t="shared" ref="I217:I234" si="54">F217*H217</f>
        <v>1648.590048</v>
      </c>
      <c r="J217" s="253">
        <v>0.79300000000000004</v>
      </c>
      <c r="K217" s="149">
        <f t="shared" ref="K217:K234" si="55">J217*D217</f>
        <v>0.79300000000000004</v>
      </c>
      <c r="L217" s="149">
        <f t="shared" si="52"/>
        <v>51.512</v>
      </c>
      <c r="M217" s="149">
        <f t="shared" ref="M217:M234" si="56">L217*2.54</f>
        <v>130.84048000000001</v>
      </c>
      <c r="N217" s="115">
        <f t="shared" si="50"/>
        <v>103.75650064000001</v>
      </c>
      <c r="O217" s="337">
        <v>-2</v>
      </c>
      <c r="P217" s="149">
        <f t="shared" ref="P217:P234" si="57">O217*2.54</f>
        <v>-5.08</v>
      </c>
      <c r="Q217" s="115">
        <f t="shared" ref="Q217:Q234" si="58">F217*P217</f>
        <v>-64.007999999999996</v>
      </c>
      <c r="R217" s="149">
        <f t="shared" ref="R217:R234" si="59">K217*P217</f>
        <v>-4.0284400000000007</v>
      </c>
      <c r="V217" s="115"/>
    </row>
    <row r="218" spans="1:22" s="8" customFormat="1" ht="17.100000000000001" customHeight="1">
      <c r="A218" s="10">
        <v>4</v>
      </c>
      <c r="B218" s="133" t="s">
        <v>468</v>
      </c>
      <c r="C218" s="10">
        <v>52160</v>
      </c>
      <c r="D218" s="333">
        <v>1</v>
      </c>
      <c r="E218" s="385">
        <v>12.6</v>
      </c>
      <c r="F218" s="149">
        <f t="shared" si="51"/>
        <v>12.6</v>
      </c>
      <c r="G218" s="334">
        <v>51.512</v>
      </c>
      <c r="H218" s="149">
        <f t="shared" si="53"/>
        <v>130.84048000000001</v>
      </c>
      <c r="I218" s="115">
        <f t="shared" si="54"/>
        <v>1648.590048</v>
      </c>
      <c r="J218" s="253">
        <v>0.79300000000000004</v>
      </c>
      <c r="K218" s="149">
        <f t="shared" si="55"/>
        <v>0.79300000000000004</v>
      </c>
      <c r="L218" s="149">
        <f t="shared" si="52"/>
        <v>51.512</v>
      </c>
      <c r="M218" s="149">
        <f t="shared" si="56"/>
        <v>130.84048000000001</v>
      </c>
      <c r="N218" s="115">
        <f t="shared" si="50"/>
        <v>103.75650064000001</v>
      </c>
      <c r="O218" s="337">
        <v>-2.2999999999999998</v>
      </c>
      <c r="P218" s="149">
        <f t="shared" si="57"/>
        <v>-5.8419999999999996</v>
      </c>
      <c r="Q218" s="115">
        <f t="shared" si="58"/>
        <v>-73.609199999999987</v>
      </c>
      <c r="R218" s="149">
        <f t="shared" si="59"/>
        <v>-4.6327059999999998</v>
      </c>
      <c r="V218" s="115"/>
    </row>
    <row r="219" spans="1:22" s="8" customFormat="1" ht="17.100000000000001" customHeight="1">
      <c r="A219" s="10">
        <v>4</v>
      </c>
      <c r="B219" s="133" t="s">
        <v>469</v>
      </c>
      <c r="C219" s="10">
        <v>52160</v>
      </c>
      <c r="D219" s="333">
        <v>1</v>
      </c>
      <c r="E219" s="385">
        <v>0</v>
      </c>
      <c r="F219" s="149">
        <f t="shared" si="51"/>
        <v>0</v>
      </c>
      <c r="G219" s="334">
        <v>51.512</v>
      </c>
      <c r="H219" s="149">
        <f t="shared" si="53"/>
        <v>130.84048000000001</v>
      </c>
      <c r="I219" s="115">
        <f t="shared" si="54"/>
        <v>0</v>
      </c>
      <c r="J219" s="253">
        <v>0.79300000000000004</v>
      </c>
      <c r="K219" s="149">
        <f t="shared" si="55"/>
        <v>0.79300000000000004</v>
      </c>
      <c r="L219" s="149">
        <f t="shared" si="52"/>
        <v>51.512</v>
      </c>
      <c r="M219" s="149">
        <f t="shared" si="56"/>
        <v>130.84048000000001</v>
      </c>
      <c r="N219" s="115">
        <f t="shared" si="50"/>
        <v>103.75650064000001</v>
      </c>
      <c r="O219" s="337">
        <v>-2</v>
      </c>
      <c r="P219" s="149">
        <f t="shared" si="57"/>
        <v>-5.08</v>
      </c>
      <c r="Q219" s="115">
        <f t="shared" si="58"/>
        <v>0</v>
      </c>
      <c r="R219" s="149">
        <f t="shared" si="59"/>
        <v>-4.0284400000000007</v>
      </c>
      <c r="V219" s="115"/>
    </row>
    <row r="220" spans="1:22" s="8" customFormat="1" ht="17.100000000000001" customHeight="1">
      <c r="A220" s="10">
        <v>4</v>
      </c>
      <c r="B220" s="133" t="s">
        <v>470</v>
      </c>
      <c r="C220" s="10">
        <v>52160</v>
      </c>
      <c r="D220" s="333">
        <v>1</v>
      </c>
      <c r="E220" s="385">
        <v>0</v>
      </c>
      <c r="F220" s="149">
        <f t="shared" si="51"/>
        <v>0</v>
      </c>
      <c r="G220" s="334">
        <v>51.512</v>
      </c>
      <c r="H220" s="149">
        <f t="shared" si="53"/>
        <v>130.84048000000001</v>
      </c>
      <c r="I220" s="115">
        <f t="shared" si="54"/>
        <v>0</v>
      </c>
      <c r="J220" s="253">
        <v>0.79300000000000004</v>
      </c>
      <c r="K220" s="149">
        <f t="shared" si="55"/>
        <v>0.79300000000000004</v>
      </c>
      <c r="L220" s="149">
        <f t="shared" si="52"/>
        <v>51.512</v>
      </c>
      <c r="M220" s="149">
        <f t="shared" si="56"/>
        <v>130.84048000000001</v>
      </c>
      <c r="N220" s="115">
        <f t="shared" si="50"/>
        <v>103.75650064000001</v>
      </c>
      <c r="O220" s="337">
        <v>-1.125</v>
      </c>
      <c r="P220" s="149">
        <f t="shared" si="57"/>
        <v>-2.8574999999999999</v>
      </c>
      <c r="Q220" s="115">
        <f t="shared" si="58"/>
        <v>0</v>
      </c>
      <c r="R220" s="149">
        <f t="shared" si="59"/>
        <v>-2.2659975000000001</v>
      </c>
      <c r="V220" s="115"/>
    </row>
    <row r="221" spans="1:22" s="8" customFormat="1" ht="17.100000000000001" customHeight="1">
      <c r="A221" s="10">
        <v>4</v>
      </c>
      <c r="B221" s="133" t="s">
        <v>471</v>
      </c>
      <c r="C221" s="10">
        <v>52160</v>
      </c>
      <c r="D221" s="333">
        <v>1</v>
      </c>
      <c r="E221" s="385">
        <v>0</v>
      </c>
      <c r="F221" s="149">
        <f t="shared" si="51"/>
        <v>0</v>
      </c>
      <c r="G221" s="334">
        <v>51.512</v>
      </c>
      <c r="H221" s="149">
        <f t="shared" si="53"/>
        <v>130.84048000000001</v>
      </c>
      <c r="I221" s="115">
        <f t="shared" si="54"/>
        <v>0</v>
      </c>
      <c r="J221" s="253">
        <v>0.79300000000000004</v>
      </c>
      <c r="K221" s="149">
        <f t="shared" si="55"/>
        <v>0.79300000000000004</v>
      </c>
      <c r="L221" s="149">
        <f t="shared" si="52"/>
        <v>51.512</v>
      </c>
      <c r="M221" s="149">
        <f t="shared" si="56"/>
        <v>130.84048000000001</v>
      </c>
      <c r="N221" s="115">
        <f t="shared" si="50"/>
        <v>103.75650064000001</v>
      </c>
      <c r="O221" s="337">
        <v>1.125</v>
      </c>
      <c r="P221" s="149">
        <f t="shared" si="57"/>
        <v>2.8574999999999999</v>
      </c>
      <c r="Q221" s="115">
        <f t="shared" si="58"/>
        <v>0</v>
      </c>
      <c r="R221" s="149">
        <f t="shared" si="59"/>
        <v>2.2659975000000001</v>
      </c>
      <c r="V221" s="115"/>
    </row>
    <row r="222" spans="1:22" s="8" customFormat="1" ht="17.100000000000001" customHeight="1">
      <c r="A222" s="10">
        <v>4</v>
      </c>
      <c r="B222" s="133" t="s">
        <v>472</v>
      </c>
      <c r="C222" s="10">
        <v>52160</v>
      </c>
      <c r="D222" s="333">
        <v>1</v>
      </c>
      <c r="E222" s="385">
        <v>0</v>
      </c>
      <c r="F222" s="149">
        <f t="shared" si="51"/>
        <v>0</v>
      </c>
      <c r="G222" s="334">
        <v>51.512</v>
      </c>
      <c r="H222" s="149">
        <f t="shared" si="53"/>
        <v>130.84048000000001</v>
      </c>
      <c r="I222" s="115">
        <f t="shared" si="54"/>
        <v>0</v>
      </c>
      <c r="J222" s="253">
        <v>0.79300000000000004</v>
      </c>
      <c r="K222" s="149">
        <f t="shared" si="55"/>
        <v>0.79300000000000004</v>
      </c>
      <c r="L222" s="149">
        <f t="shared" si="52"/>
        <v>51.512</v>
      </c>
      <c r="M222" s="149">
        <f t="shared" si="56"/>
        <v>130.84048000000001</v>
      </c>
      <c r="N222" s="115">
        <f t="shared" si="50"/>
        <v>103.75650064000001</v>
      </c>
      <c r="O222" s="337">
        <v>2</v>
      </c>
      <c r="P222" s="149">
        <f t="shared" si="57"/>
        <v>5.08</v>
      </c>
      <c r="Q222" s="115">
        <f t="shared" si="58"/>
        <v>0</v>
      </c>
      <c r="R222" s="149">
        <f t="shared" si="59"/>
        <v>4.0284400000000007</v>
      </c>
      <c r="V222" s="115"/>
    </row>
    <row r="223" spans="1:22" s="8" customFormat="1" ht="17.100000000000001" customHeight="1">
      <c r="A223" s="10">
        <v>4</v>
      </c>
      <c r="B223" s="133" t="s">
        <v>473</v>
      </c>
      <c r="C223" s="397" t="s">
        <v>474</v>
      </c>
      <c r="D223" s="333">
        <v>1</v>
      </c>
      <c r="E223" s="230">
        <v>66.3</v>
      </c>
      <c r="F223" s="149">
        <f t="shared" si="51"/>
        <v>66.3</v>
      </c>
      <c r="G223" s="334">
        <v>51.512</v>
      </c>
      <c r="H223" s="149">
        <f t="shared" si="53"/>
        <v>130.84048000000001</v>
      </c>
      <c r="I223" s="115">
        <f t="shared" si="54"/>
        <v>8674.7238240000006</v>
      </c>
      <c r="J223" s="253">
        <v>6.8</v>
      </c>
      <c r="K223" s="149">
        <f t="shared" si="55"/>
        <v>6.8</v>
      </c>
      <c r="L223" s="149">
        <f t="shared" si="52"/>
        <v>51.512</v>
      </c>
      <c r="M223" s="149">
        <f t="shared" si="56"/>
        <v>130.84048000000001</v>
      </c>
      <c r="N223" s="115">
        <f t="shared" si="50"/>
        <v>889.71526400000005</v>
      </c>
      <c r="O223" s="337">
        <v>0</v>
      </c>
      <c r="P223" s="149">
        <f t="shared" si="57"/>
        <v>0</v>
      </c>
      <c r="Q223" s="115">
        <f t="shared" si="58"/>
        <v>0</v>
      </c>
      <c r="R223" s="149">
        <f t="shared" si="59"/>
        <v>0</v>
      </c>
      <c r="V223" s="115"/>
    </row>
    <row r="224" spans="1:22" s="8" customFormat="1" ht="17.100000000000001" customHeight="1">
      <c r="A224" s="10">
        <v>4</v>
      </c>
      <c r="B224" s="133" t="s">
        <v>475</v>
      </c>
      <c r="C224" s="397" t="s">
        <v>476</v>
      </c>
      <c r="D224" s="333">
        <v>1</v>
      </c>
      <c r="E224" s="385">
        <v>11.4</v>
      </c>
      <c r="F224" s="149">
        <f t="shared" si="51"/>
        <v>11.4</v>
      </c>
      <c r="G224" s="334">
        <v>51.512</v>
      </c>
      <c r="H224" s="149">
        <f t="shared" si="53"/>
        <v>130.84048000000001</v>
      </c>
      <c r="I224" s="115">
        <f t="shared" si="54"/>
        <v>1491.5814720000003</v>
      </c>
      <c r="J224" s="253">
        <v>2.7</v>
      </c>
      <c r="K224" s="149">
        <f t="shared" si="55"/>
        <v>2.7</v>
      </c>
      <c r="L224" s="336">
        <f t="shared" si="52"/>
        <v>51.512</v>
      </c>
      <c r="M224" s="149">
        <f t="shared" si="56"/>
        <v>130.84048000000001</v>
      </c>
      <c r="N224" s="115">
        <f t="shared" si="50"/>
        <v>353.26929600000005</v>
      </c>
      <c r="O224" s="337">
        <v>2.2999999999999998</v>
      </c>
      <c r="P224" s="149">
        <f t="shared" si="57"/>
        <v>5.8419999999999996</v>
      </c>
      <c r="Q224" s="115">
        <f t="shared" si="58"/>
        <v>66.598799999999997</v>
      </c>
      <c r="R224" s="149">
        <f t="shared" si="59"/>
        <v>15.773400000000001</v>
      </c>
      <c r="V224" s="115"/>
    </row>
    <row r="225" spans="1:22" s="8" customFormat="1" ht="17.100000000000001" customHeight="1">
      <c r="A225" s="10">
        <v>4</v>
      </c>
      <c r="B225" s="133" t="s">
        <v>477</v>
      </c>
      <c r="C225" s="10">
        <v>49804</v>
      </c>
      <c r="D225" s="333">
        <v>1</v>
      </c>
      <c r="E225" s="230">
        <v>40.799999999999997</v>
      </c>
      <c r="F225" s="149">
        <f t="shared" si="51"/>
        <v>40.799999999999997</v>
      </c>
      <c r="G225" s="334">
        <v>47.3</v>
      </c>
      <c r="H225" s="149">
        <f t="shared" si="53"/>
        <v>120.142</v>
      </c>
      <c r="I225" s="115">
        <f t="shared" si="54"/>
        <v>4901.7935999999991</v>
      </c>
      <c r="J225" s="335">
        <v>0</v>
      </c>
      <c r="K225" s="115">
        <f t="shared" si="55"/>
        <v>0</v>
      </c>
      <c r="L225" s="336">
        <f t="shared" si="52"/>
        <v>47.3</v>
      </c>
      <c r="M225" s="149">
        <f t="shared" si="56"/>
        <v>120.142</v>
      </c>
      <c r="N225" s="115">
        <f t="shared" si="50"/>
        <v>0</v>
      </c>
      <c r="O225" s="337">
        <v>0.75</v>
      </c>
      <c r="P225" s="149">
        <f t="shared" si="57"/>
        <v>1.905</v>
      </c>
      <c r="Q225" s="115">
        <f t="shared" si="58"/>
        <v>77.72399999999999</v>
      </c>
      <c r="R225" s="149">
        <f t="shared" si="59"/>
        <v>0</v>
      </c>
      <c r="V225" s="115"/>
    </row>
    <row r="226" spans="1:22" s="8" customFormat="1" ht="17.100000000000001" customHeight="1">
      <c r="A226" s="10">
        <v>4</v>
      </c>
      <c r="B226" s="133" t="s">
        <v>478</v>
      </c>
      <c r="C226" s="10">
        <v>52253</v>
      </c>
      <c r="D226" s="333">
        <v>1</v>
      </c>
      <c r="E226" s="230">
        <v>130.80000000000001</v>
      </c>
      <c r="F226" s="149">
        <f t="shared" si="51"/>
        <v>130.80000000000001</v>
      </c>
      <c r="G226" s="334">
        <v>48.5</v>
      </c>
      <c r="H226" s="149">
        <f t="shared" si="53"/>
        <v>123.19</v>
      </c>
      <c r="I226" s="115">
        <f t="shared" si="54"/>
        <v>16113.252</v>
      </c>
      <c r="J226" s="335">
        <v>0</v>
      </c>
      <c r="K226" s="115">
        <f t="shared" si="55"/>
        <v>0</v>
      </c>
      <c r="L226" s="336">
        <f t="shared" si="52"/>
        <v>48.5</v>
      </c>
      <c r="M226" s="149">
        <f t="shared" si="56"/>
        <v>123.19</v>
      </c>
      <c r="N226" s="115">
        <f t="shared" si="50"/>
        <v>0</v>
      </c>
      <c r="O226" s="337">
        <v>1.8</v>
      </c>
      <c r="P226" s="149">
        <f t="shared" si="57"/>
        <v>4.5720000000000001</v>
      </c>
      <c r="Q226" s="115">
        <f t="shared" si="58"/>
        <v>598.01760000000002</v>
      </c>
      <c r="R226" s="149">
        <f t="shared" si="59"/>
        <v>0</v>
      </c>
      <c r="V226" s="115"/>
    </row>
    <row r="227" spans="1:22" s="8" customFormat="1" ht="17.100000000000001" customHeight="1">
      <c r="A227" s="10">
        <v>4</v>
      </c>
      <c r="B227" s="133" t="s">
        <v>479</v>
      </c>
      <c r="C227" s="10">
        <v>55203</v>
      </c>
      <c r="D227" s="333">
        <v>1</v>
      </c>
      <c r="E227" s="230">
        <v>0.4</v>
      </c>
      <c r="F227" s="149">
        <f t="shared" si="51"/>
        <v>0.4</v>
      </c>
      <c r="G227" s="334">
        <v>47.3</v>
      </c>
      <c r="H227" s="149">
        <f t="shared" si="53"/>
        <v>120.142</v>
      </c>
      <c r="I227" s="115">
        <f t="shared" si="54"/>
        <v>48.056800000000003</v>
      </c>
      <c r="J227" s="335">
        <v>0</v>
      </c>
      <c r="K227" s="115">
        <f t="shared" si="55"/>
        <v>0</v>
      </c>
      <c r="L227" s="336">
        <f t="shared" si="52"/>
        <v>47.3</v>
      </c>
      <c r="M227" s="149">
        <f t="shared" si="56"/>
        <v>120.142</v>
      </c>
      <c r="N227" s="115">
        <f t="shared" si="50"/>
        <v>0</v>
      </c>
      <c r="O227" s="337">
        <v>1.8</v>
      </c>
      <c r="P227" s="149">
        <f t="shared" si="57"/>
        <v>4.5720000000000001</v>
      </c>
      <c r="Q227" s="115">
        <f t="shared" si="58"/>
        <v>1.8288000000000002</v>
      </c>
      <c r="R227" s="149">
        <f t="shared" si="59"/>
        <v>0</v>
      </c>
      <c r="V227" s="115"/>
    </row>
    <row r="228" spans="1:22" s="8" customFormat="1" ht="17.100000000000001" customHeight="1">
      <c r="A228" s="10">
        <v>4</v>
      </c>
      <c r="B228" s="133" t="s">
        <v>480</v>
      </c>
      <c r="C228" s="397" t="s">
        <v>481</v>
      </c>
      <c r="D228" s="333">
        <v>1</v>
      </c>
      <c r="E228" s="230">
        <v>0.6</v>
      </c>
      <c r="F228" s="149">
        <f t="shared" si="51"/>
        <v>0.6</v>
      </c>
      <c r="G228" s="334">
        <v>46.77</v>
      </c>
      <c r="H228" s="149">
        <f t="shared" si="53"/>
        <v>118.79580000000001</v>
      </c>
      <c r="I228" s="115">
        <f t="shared" si="54"/>
        <v>71.277480000000011</v>
      </c>
      <c r="J228" s="335">
        <v>0</v>
      </c>
      <c r="K228" s="115">
        <f t="shared" si="55"/>
        <v>0</v>
      </c>
      <c r="L228" s="336">
        <f t="shared" si="52"/>
        <v>46.77</v>
      </c>
      <c r="M228" s="149">
        <f t="shared" si="56"/>
        <v>118.79580000000001</v>
      </c>
      <c r="N228" s="115">
        <f t="shared" si="50"/>
        <v>0</v>
      </c>
      <c r="O228" s="337">
        <v>0</v>
      </c>
      <c r="P228" s="149">
        <f t="shared" si="57"/>
        <v>0</v>
      </c>
      <c r="Q228" s="115">
        <f t="shared" si="58"/>
        <v>0</v>
      </c>
      <c r="R228" s="149">
        <f t="shared" si="59"/>
        <v>0</v>
      </c>
      <c r="V228" s="115"/>
    </row>
    <row r="229" spans="1:22" s="8" customFormat="1" ht="17.100000000000001" customHeight="1">
      <c r="A229" s="10">
        <v>4</v>
      </c>
      <c r="B229" s="133" t="s">
        <v>482</v>
      </c>
      <c r="C229" s="10">
        <v>52352</v>
      </c>
      <c r="D229" s="333">
        <v>1</v>
      </c>
      <c r="E229" s="230">
        <v>5.6</v>
      </c>
      <c r="F229" s="149">
        <f t="shared" si="51"/>
        <v>5.6</v>
      </c>
      <c r="G229" s="334">
        <v>46.77</v>
      </c>
      <c r="H229" s="149">
        <f t="shared" si="53"/>
        <v>118.79580000000001</v>
      </c>
      <c r="I229" s="115">
        <f t="shared" si="54"/>
        <v>665.25648000000001</v>
      </c>
      <c r="J229" s="335">
        <v>0</v>
      </c>
      <c r="K229" s="115">
        <f t="shared" si="55"/>
        <v>0</v>
      </c>
      <c r="L229" s="336">
        <f t="shared" si="52"/>
        <v>46.77</v>
      </c>
      <c r="M229" s="149">
        <f t="shared" si="56"/>
        <v>118.79580000000001</v>
      </c>
      <c r="N229" s="115">
        <f t="shared" si="50"/>
        <v>0</v>
      </c>
      <c r="O229" s="337">
        <v>1.85</v>
      </c>
      <c r="P229" s="149">
        <f t="shared" si="57"/>
        <v>4.6990000000000007</v>
      </c>
      <c r="Q229" s="115">
        <f t="shared" si="58"/>
        <v>26.314400000000003</v>
      </c>
      <c r="R229" s="149">
        <f t="shared" si="59"/>
        <v>0</v>
      </c>
      <c r="V229" s="115"/>
    </row>
    <row r="230" spans="1:22" s="8" customFormat="1" ht="17.100000000000001" customHeight="1">
      <c r="A230" s="10">
        <v>4</v>
      </c>
      <c r="B230" s="133" t="s">
        <v>483</v>
      </c>
      <c r="C230" s="397" t="s">
        <v>484</v>
      </c>
      <c r="D230" s="333">
        <v>1</v>
      </c>
      <c r="E230" s="230">
        <v>3</v>
      </c>
      <c r="F230" s="149">
        <f t="shared" si="51"/>
        <v>3</v>
      </c>
      <c r="G230" s="334">
        <v>47.28</v>
      </c>
      <c r="H230" s="149">
        <f t="shared" si="53"/>
        <v>120.0912</v>
      </c>
      <c r="I230" s="115">
        <f t="shared" si="54"/>
        <v>360.27359999999999</v>
      </c>
      <c r="J230" s="335">
        <v>0</v>
      </c>
      <c r="K230" s="115">
        <f t="shared" si="55"/>
        <v>0</v>
      </c>
      <c r="L230" s="336">
        <f t="shared" si="52"/>
        <v>47.28</v>
      </c>
      <c r="M230" s="149">
        <f t="shared" si="56"/>
        <v>120.0912</v>
      </c>
      <c r="N230" s="115">
        <f t="shared" si="50"/>
        <v>0</v>
      </c>
      <c r="O230" s="337">
        <v>0</v>
      </c>
      <c r="P230" s="149">
        <f t="shared" si="57"/>
        <v>0</v>
      </c>
      <c r="Q230" s="115">
        <f t="shared" si="58"/>
        <v>0</v>
      </c>
      <c r="R230" s="149">
        <f t="shared" si="59"/>
        <v>0</v>
      </c>
      <c r="V230" s="115"/>
    </row>
    <row r="231" spans="1:22" s="8" customFormat="1" ht="17.100000000000001" customHeight="1">
      <c r="A231" s="10">
        <v>4</v>
      </c>
      <c r="B231" s="133" t="s">
        <v>485</v>
      </c>
      <c r="C231" s="10">
        <v>49806</v>
      </c>
      <c r="D231" s="333">
        <v>1</v>
      </c>
      <c r="E231" s="230">
        <v>91.3</v>
      </c>
      <c r="F231" s="149">
        <f t="shared" si="51"/>
        <v>91.3</v>
      </c>
      <c r="G231" s="334">
        <v>46.77</v>
      </c>
      <c r="H231" s="149">
        <f t="shared" si="53"/>
        <v>118.79580000000001</v>
      </c>
      <c r="I231" s="115">
        <f t="shared" si="54"/>
        <v>10846.056540000001</v>
      </c>
      <c r="J231" s="335">
        <v>0</v>
      </c>
      <c r="K231" s="115">
        <f t="shared" si="55"/>
        <v>0</v>
      </c>
      <c r="L231" s="336">
        <f t="shared" si="52"/>
        <v>46.77</v>
      </c>
      <c r="M231" s="149">
        <f t="shared" si="56"/>
        <v>118.79580000000001</v>
      </c>
      <c r="N231" s="115">
        <f t="shared" si="50"/>
        <v>0</v>
      </c>
      <c r="O231" s="337">
        <v>0</v>
      </c>
      <c r="P231" s="149">
        <f t="shared" si="57"/>
        <v>0</v>
      </c>
      <c r="Q231" s="115">
        <f t="shared" si="58"/>
        <v>0</v>
      </c>
      <c r="R231" s="149">
        <f t="shared" si="59"/>
        <v>0</v>
      </c>
      <c r="V231" s="115"/>
    </row>
    <row r="232" spans="1:22" s="8" customFormat="1" ht="17.100000000000001" customHeight="1">
      <c r="A232" s="10">
        <v>4</v>
      </c>
      <c r="B232" s="133" t="s">
        <v>486</v>
      </c>
      <c r="C232" s="397" t="s">
        <v>487</v>
      </c>
      <c r="D232" s="333">
        <v>1</v>
      </c>
      <c r="E232" s="230">
        <v>3.8</v>
      </c>
      <c r="F232" s="149">
        <f t="shared" si="51"/>
        <v>3.8</v>
      </c>
      <c r="G232" s="334">
        <v>46.77</v>
      </c>
      <c r="H232" s="149">
        <f t="shared" si="53"/>
        <v>118.79580000000001</v>
      </c>
      <c r="I232" s="115">
        <f t="shared" si="54"/>
        <v>451.42404000000005</v>
      </c>
      <c r="J232" s="335">
        <v>0</v>
      </c>
      <c r="K232" s="115">
        <f t="shared" si="55"/>
        <v>0</v>
      </c>
      <c r="L232" s="336">
        <f t="shared" si="52"/>
        <v>46.77</v>
      </c>
      <c r="M232" s="149">
        <f t="shared" si="56"/>
        <v>118.79580000000001</v>
      </c>
      <c r="N232" s="115">
        <f t="shared" si="50"/>
        <v>0</v>
      </c>
      <c r="O232" s="337">
        <v>0.5</v>
      </c>
      <c r="P232" s="149">
        <f t="shared" si="57"/>
        <v>1.27</v>
      </c>
      <c r="Q232" s="115">
        <f t="shared" si="58"/>
        <v>4.8259999999999996</v>
      </c>
      <c r="R232" s="149">
        <f t="shared" si="59"/>
        <v>0</v>
      </c>
      <c r="V232" s="115"/>
    </row>
    <row r="233" spans="1:22" s="8" customFormat="1" ht="17.100000000000001" customHeight="1">
      <c r="A233" s="10">
        <v>4</v>
      </c>
      <c r="B233" s="133" t="s">
        <v>488</v>
      </c>
      <c r="C233" s="10">
        <v>49805</v>
      </c>
      <c r="D233" s="333">
        <v>1</v>
      </c>
      <c r="E233" s="230">
        <v>18</v>
      </c>
      <c r="F233" s="149">
        <f t="shared" si="51"/>
        <v>18</v>
      </c>
      <c r="G233" s="334">
        <v>46.5</v>
      </c>
      <c r="H233" s="149">
        <f t="shared" si="53"/>
        <v>118.11</v>
      </c>
      <c r="I233" s="115">
        <f t="shared" si="54"/>
        <v>2125.98</v>
      </c>
      <c r="J233" s="335">
        <v>0</v>
      </c>
      <c r="K233" s="115">
        <f t="shared" si="55"/>
        <v>0</v>
      </c>
      <c r="L233" s="336">
        <f t="shared" si="52"/>
        <v>46.5</v>
      </c>
      <c r="M233" s="149">
        <f t="shared" si="56"/>
        <v>118.11</v>
      </c>
      <c r="N233" s="115">
        <f t="shared" si="50"/>
        <v>0</v>
      </c>
      <c r="O233" s="337">
        <v>0.75</v>
      </c>
      <c r="P233" s="149">
        <f t="shared" si="57"/>
        <v>1.905</v>
      </c>
      <c r="Q233" s="115">
        <f t="shared" si="58"/>
        <v>34.29</v>
      </c>
      <c r="R233" s="149">
        <f t="shared" si="59"/>
        <v>0</v>
      </c>
      <c r="V233" s="115"/>
    </row>
    <row r="234" spans="1:22" s="8" customFormat="1" ht="17.100000000000001" customHeight="1">
      <c r="A234" s="10">
        <v>4</v>
      </c>
      <c r="B234" s="133" t="s">
        <v>489</v>
      </c>
      <c r="C234" s="397" t="s">
        <v>490</v>
      </c>
      <c r="D234" s="333">
        <v>1</v>
      </c>
      <c r="E234" s="230">
        <v>2</v>
      </c>
      <c r="F234" s="149">
        <f t="shared" si="51"/>
        <v>2</v>
      </c>
      <c r="G234" s="334">
        <v>46.625</v>
      </c>
      <c r="H234" s="149">
        <f t="shared" si="53"/>
        <v>118.42749999999999</v>
      </c>
      <c r="I234" s="115">
        <f t="shared" si="54"/>
        <v>236.85499999999999</v>
      </c>
      <c r="J234" s="335">
        <v>0</v>
      </c>
      <c r="K234" s="115">
        <f t="shared" si="55"/>
        <v>0</v>
      </c>
      <c r="L234" s="336">
        <f t="shared" si="52"/>
        <v>46.625</v>
      </c>
      <c r="M234" s="149">
        <f t="shared" si="56"/>
        <v>118.42749999999999</v>
      </c>
      <c r="N234" s="115">
        <f t="shared" si="50"/>
        <v>0</v>
      </c>
      <c r="O234" s="337">
        <v>0</v>
      </c>
      <c r="P234" s="149">
        <f t="shared" si="57"/>
        <v>0</v>
      </c>
      <c r="Q234" s="115">
        <f t="shared" si="58"/>
        <v>0</v>
      </c>
      <c r="R234" s="149">
        <f t="shared" si="59"/>
        <v>0</v>
      </c>
      <c r="V234" s="115"/>
    </row>
    <row r="235" spans="1:22" s="8" customFormat="1" ht="17.100000000000001" customHeight="1">
      <c r="A235" s="10"/>
      <c r="B235" s="133"/>
      <c r="C235" s="10"/>
      <c r="D235" s="333"/>
      <c r="E235" s="230"/>
      <c r="F235" s="149"/>
      <c r="G235" s="334"/>
      <c r="H235" s="149"/>
      <c r="I235" s="115"/>
      <c r="J235" s="335"/>
      <c r="K235" s="115"/>
      <c r="L235" s="336"/>
      <c r="M235" s="149"/>
      <c r="N235" s="115"/>
      <c r="O235" s="337"/>
      <c r="P235" s="149"/>
      <c r="Q235" s="115"/>
      <c r="R235" s="149"/>
      <c r="V235" s="115"/>
    </row>
    <row r="236" spans="1:22" s="8" customFormat="1" ht="17.100000000000001" customHeight="1">
      <c r="A236" s="10">
        <v>3</v>
      </c>
      <c r="B236" s="396" t="s">
        <v>491</v>
      </c>
      <c r="C236" s="115">
        <v>52378</v>
      </c>
      <c r="D236" s="220"/>
      <c r="E236" s="230"/>
      <c r="F236" s="149"/>
      <c r="G236" s="334"/>
      <c r="H236" s="149"/>
      <c r="I236" s="115"/>
      <c r="J236" s="335"/>
      <c r="K236" s="115"/>
      <c r="L236" s="336"/>
      <c r="M236" s="149"/>
      <c r="N236" s="115"/>
      <c r="O236" s="337"/>
      <c r="P236" s="149"/>
      <c r="Q236" s="115"/>
      <c r="R236" s="149"/>
      <c r="V236" s="115"/>
    </row>
    <row r="237" spans="1:22" s="8" customFormat="1" ht="17.100000000000001" customHeight="1">
      <c r="A237" s="10"/>
      <c r="B237" s="6" t="s">
        <v>300</v>
      </c>
      <c r="C237" s="149">
        <f>SUM(F239:F248)</f>
        <v>384.4</v>
      </c>
      <c r="D237" s="220" t="s">
        <v>238</v>
      </c>
      <c r="E237" s="354" t="s">
        <v>245</v>
      </c>
      <c r="F237" s="149"/>
      <c r="G237" s="334"/>
      <c r="H237" s="149"/>
      <c r="I237" s="115"/>
      <c r="J237" s="335"/>
      <c r="K237" s="115"/>
      <c r="L237" s="336"/>
      <c r="M237" s="149"/>
      <c r="N237" s="115"/>
      <c r="O237" s="337"/>
      <c r="P237" s="149"/>
      <c r="Q237" s="115"/>
      <c r="R237" s="149"/>
      <c r="V237" s="115"/>
    </row>
    <row r="238" spans="1:22" s="8" customFormat="1" ht="15.75" customHeight="1">
      <c r="A238" s="10"/>
      <c r="B238" s="6" t="s">
        <v>403</v>
      </c>
      <c r="C238" s="230">
        <v>384.6</v>
      </c>
      <c r="D238" s="220" t="s">
        <v>238</v>
      </c>
      <c r="E238" s="365">
        <f>C238-C237</f>
        <v>0.20000000000004547</v>
      </c>
      <c r="F238" s="149"/>
      <c r="G238" s="334"/>
      <c r="H238" s="149"/>
      <c r="I238" s="115"/>
      <c r="J238" s="335"/>
      <c r="K238" s="115"/>
      <c r="L238" s="336"/>
      <c r="M238" s="149"/>
      <c r="N238" s="115"/>
      <c r="O238" s="337"/>
      <c r="P238" s="149"/>
      <c r="Q238" s="115"/>
      <c r="R238" s="149"/>
      <c r="V238" s="115"/>
    </row>
    <row r="239" spans="1:22" s="8" customFormat="1" ht="17.25" customHeight="1">
      <c r="A239" s="10">
        <v>4</v>
      </c>
      <c r="B239" s="133" t="s">
        <v>492</v>
      </c>
      <c r="C239" s="397">
        <v>49808</v>
      </c>
      <c r="D239" s="333">
        <v>1</v>
      </c>
      <c r="E239" s="230">
        <v>21.8</v>
      </c>
      <c r="F239" s="149">
        <f t="shared" ref="F239:F248" si="60">E239*D239</f>
        <v>21.8</v>
      </c>
      <c r="G239" s="334">
        <v>48.91</v>
      </c>
      <c r="H239" s="149">
        <f t="shared" ref="H239:H248" si="61">G239*2.54</f>
        <v>124.23139999999999</v>
      </c>
      <c r="I239" s="115">
        <f t="shared" ref="I239:I248" si="62">F239*H239</f>
        <v>2708.2445199999997</v>
      </c>
      <c r="J239" s="335">
        <v>0</v>
      </c>
      <c r="K239" s="115">
        <f t="shared" ref="K239:K248" si="63">J239*D239</f>
        <v>0</v>
      </c>
      <c r="L239" s="336">
        <f t="shared" ref="L239:L248" si="64">G239</f>
        <v>48.91</v>
      </c>
      <c r="M239" s="149">
        <f t="shared" ref="M239:M248" si="65">L239*2.54</f>
        <v>124.23139999999999</v>
      </c>
      <c r="N239" s="115">
        <f t="shared" ref="N239:N247" si="66">K239*M239</f>
        <v>0</v>
      </c>
      <c r="O239" s="337">
        <v>0</v>
      </c>
      <c r="P239" s="149">
        <f t="shared" ref="P239:P248" si="67">O239*2.54</f>
        <v>0</v>
      </c>
      <c r="Q239" s="115">
        <f t="shared" ref="Q239:Q248" si="68">F239*P239</f>
        <v>0</v>
      </c>
      <c r="R239" s="149">
        <f t="shared" ref="R239:R248" si="69">K239*P239</f>
        <v>0</v>
      </c>
      <c r="V239" s="115"/>
    </row>
    <row r="240" spans="1:22" s="8" customFormat="1" ht="17.100000000000001" customHeight="1">
      <c r="A240" s="10">
        <v>4</v>
      </c>
      <c r="B240" s="133" t="s">
        <v>493</v>
      </c>
      <c r="C240" s="397" t="s">
        <v>494</v>
      </c>
      <c r="D240" s="333">
        <v>1</v>
      </c>
      <c r="E240" s="230">
        <v>59.9</v>
      </c>
      <c r="F240" s="149">
        <f t="shared" si="60"/>
        <v>59.9</v>
      </c>
      <c r="G240" s="334">
        <v>48.9</v>
      </c>
      <c r="H240" s="149">
        <f t="shared" si="61"/>
        <v>124.206</v>
      </c>
      <c r="I240" s="115">
        <f t="shared" si="62"/>
        <v>7439.9394000000002</v>
      </c>
      <c r="J240" s="335">
        <v>0</v>
      </c>
      <c r="K240" s="115">
        <f t="shared" si="63"/>
        <v>0</v>
      </c>
      <c r="L240" s="336">
        <f t="shared" si="64"/>
        <v>48.9</v>
      </c>
      <c r="M240" s="149">
        <f t="shared" si="65"/>
        <v>124.206</v>
      </c>
      <c r="N240" s="115">
        <f t="shared" si="66"/>
        <v>0</v>
      </c>
      <c r="O240" s="337">
        <v>1</v>
      </c>
      <c r="P240" s="149">
        <f t="shared" si="67"/>
        <v>2.54</v>
      </c>
      <c r="Q240" s="115">
        <f t="shared" si="68"/>
        <v>152.14599999999999</v>
      </c>
      <c r="R240" s="149">
        <f t="shared" si="69"/>
        <v>0</v>
      </c>
      <c r="V240" s="115"/>
    </row>
    <row r="241" spans="1:22" s="8" customFormat="1" ht="17.100000000000001" customHeight="1">
      <c r="A241" s="10">
        <v>4</v>
      </c>
      <c r="B241" s="133" t="s">
        <v>364</v>
      </c>
      <c r="C241" s="397" t="s">
        <v>365</v>
      </c>
      <c r="D241" s="333">
        <v>1</v>
      </c>
      <c r="E241" s="230">
        <v>0.2</v>
      </c>
      <c r="F241" s="149">
        <f t="shared" si="60"/>
        <v>0.2</v>
      </c>
      <c r="G241" s="334">
        <v>48.9</v>
      </c>
      <c r="H241" s="149">
        <f t="shared" si="61"/>
        <v>124.206</v>
      </c>
      <c r="I241" s="115">
        <f t="shared" si="62"/>
        <v>24.841200000000001</v>
      </c>
      <c r="J241" s="335">
        <v>0</v>
      </c>
      <c r="K241" s="115">
        <f t="shared" si="63"/>
        <v>0</v>
      </c>
      <c r="L241" s="336">
        <f t="shared" si="64"/>
        <v>48.9</v>
      </c>
      <c r="M241" s="149">
        <f t="shared" si="65"/>
        <v>124.206</v>
      </c>
      <c r="N241" s="115">
        <f t="shared" si="66"/>
        <v>0</v>
      </c>
      <c r="O241" s="337">
        <v>0</v>
      </c>
      <c r="P241" s="149">
        <f t="shared" si="67"/>
        <v>0</v>
      </c>
      <c r="Q241" s="115">
        <f t="shared" si="68"/>
        <v>0</v>
      </c>
      <c r="R241" s="149">
        <f t="shared" si="69"/>
        <v>0</v>
      </c>
      <c r="V241" s="115"/>
    </row>
    <row r="242" spans="1:22" s="8" customFormat="1" ht="17.100000000000001" customHeight="1">
      <c r="A242" s="10">
        <v>4</v>
      </c>
      <c r="B242" s="133" t="s">
        <v>366</v>
      </c>
      <c r="C242" s="397" t="s">
        <v>367</v>
      </c>
      <c r="D242" s="333">
        <v>1</v>
      </c>
      <c r="E242" s="230">
        <v>10.3</v>
      </c>
      <c r="F242" s="149">
        <f t="shared" si="60"/>
        <v>10.3</v>
      </c>
      <c r="G242" s="334">
        <v>48.9</v>
      </c>
      <c r="H242" s="149">
        <f t="shared" si="61"/>
        <v>124.206</v>
      </c>
      <c r="I242" s="115">
        <f t="shared" si="62"/>
        <v>1279.3218000000002</v>
      </c>
      <c r="J242" s="335">
        <v>0</v>
      </c>
      <c r="K242" s="115">
        <f t="shared" si="63"/>
        <v>0</v>
      </c>
      <c r="L242" s="336">
        <f t="shared" si="64"/>
        <v>48.9</v>
      </c>
      <c r="M242" s="149">
        <f t="shared" si="65"/>
        <v>124.206</v>
      </c>
      <c r="N242" s="115">
        <f t="shared" si="66"/>
        <v>0</v>
      </c>
      <c r="O242" s="337">
        <v>-0.4</v>
      </c>
      <c r="P242" s="149">
        <f t="shared" si="67"/>
        <v>-1.016</v>
      </c>
      <c r="Q242" s="115">
        <f t="shared" si="68"/>
        <v>-10.4648</v>
      </c>
      <c r="R242" s="149">
        <f t="shared" si="69"/>
        <v>0</v>
      </c>
      <c r="V242" s="115"/>
    </row>
    <row r="243" spans="1:22" s="8" customFormat="1" ht="17.100000000000001" customHeight="1">
      <c r="A243" s="10">
        <v>4</v>
      </c>
      <c r="B243" s="133" t="s">
        <v>368</v>
      </c>
      <c r="C243" s="397" t="s">
        <v>369</v>
      </c>
      <c r="D243" s="333">
        <v>1</v>
      </c>
      <c r="E243" s="230">
        <v>3</v>
      </c>
      <c r="F243" s="149">
        <f t="shared" si="60"/>
        <v>3</v>
      </c>
      <c r="G243" s="334">
        <v>48.9</v>
      </c>
      <c r="H243" s="149">
        <f t="shared" si="61"/>
        <v>124.206</v>
      </c>
      <c r="I243" s="115">
        <f t="shared" si="62"/>
        <v>372.61799999999999</v>
      </c>
      <c r="J243" s="335">
        <v>0</v>
      </c>
      <c r="K243" s="115">
        <f t="shared" si="63"/>
        <v>0</v>
      </c>
      <c r="L243" s="336">
        <f t="shared" si="64"/>
        <v>48.9</v>
      </c>
      <c r="M243" s="149">
        <f t="shared" si="65"/>
        <v>124.206</v>
      </c>
      <c r="N243" s="115">
        <f t="shared" si="66"/>
        <v>0</v>
      </c>
      <c r="O243" s="337">
        <v>0</v>
      </c>
      <c r="P243" s="149">
        <f t="shared" si="67"/>
        <v>0</v>
      </c>
      <c r="Q243" s="115">
        <f t="shared" si="68"/>
        <v>0</v>
      </c>
      <c r="R243" s="149">
        <f t="shared" si="69"/>
        <v>0</v>
      </c>
      <c r="V243" s="115"/>
    </row>
    <row r="244" spans="1:22" s="8" customFormat="1" ht="17.25" customHeight="1">
      <c r="A244" s="10">
        <v>4</v>
      </c>
      <c r="B244" s="133" t="s">
        <v>370</v>
      </c>
      <c r="C244" s="397" t="s">
        <v>371</v>
      </c>
      <c r="D244" s="333">
        <v>1</v>
      </c>
      <c r="E244" s="230">
        <v>17.399999999999999</v>
      </c>
      <c r="F244" s="149">
        <f t="shared" si="60"/>
        <v>17.399999999999999</v>
      </c>
      <c r="G244" s="334">
        <v>48.9</v>
      </c>
      <c r="H244" s="149">
        <f t="shared" si="61"/>
        <v>124.206</v>
      </c>
      <c r="I244" s="115">
        <f t="shared" si="62"/>
        <v>2161.1844000000001</v>
      </c>
      <c r="J244" s="335">
        <v>0</v>
      </c>
      <c r="K244" s="115">
        <f t="shared" si="63"/>
        <v>0</v>
      </c>
      <c r="L244" s="336">
        <f t="shared" si="64"/>
        <v>48.9</v>
      </c>
      <c r="M244" s="149">
        <f t="shared" si="65"/>
        <v>124.206</v>
      </c>
      <c r="N244" s="115">
        <f t="shared" si="66"/>
        <v>0</v>
      </c>
      <c r="O244" s="337">
        <v>-0.4</v>
      </c>
      <c r="P244" s="149">
        <f t="shared" si="67"/>
        <v>-1.016</v>
      </c>
      <c r="Q244" s="115">
        <f t="shared" si="68"/>
        <v>-17.6784</v>
      </c>
      <c r="R244" s="149">
        <f t="shared" si="69"/>
        <v>0</v>
      </c>
      <c r="V244" s="115"/>
    </row>
    <row r="245" spans="1:22" s="8" customFormat="1" ht="26.1" customHeight="1">
      <c r="A245" s="10">
        <v>4</v>
      </c>
      <c r="B245" s="133" t="s">
        <v>372</v>
      </c>
      <c r="C245" s="406" t="s">
        <v>373</v>
      </c>
      <c r="D245" s="333">
        <v>1</v>
      </c>
      <c r="E245" s="230">
        <v>224.6</v>
      </c>
      <c r="F245" s="149">
        <f t="shared" si="60"/>
        <v>224.6</v>
      </c>
      <c r="G245" s="334">
        <v>48.9</v>
      </c>
      <c r="H245" s="149">
        <f t="shared" si="61"/>
        <v>124.206</v>
      </c>
      <c r="I245" s="115">
        <f t="shared" si="62"/>
        <v>27896.667600000001</v>
      </c>
      <c r="J245" s="335">
        <v>0</v>
      </c>
      <c r="K245" s="115">
        <f t="shared" si="63"/>
        <v>0</v>
      </c>
      <c r="L245" s="336">
        <f t="shared" si="64"/>
        <v>48.9</v>
      </c>
      <c r="M245" s="149">
        <f t="shared" si="65"/>
        <v>124.206</v>
      </c>
      <c r="N245" s="115">
        <f t="shared" si="66"/>
        <v>0</v>
      </c>
      <c r="O245" s="337">
        <v>-0.8</v>
      </c>
      <c r="P245" s="149">
        <f t="shared" si="67"/>
        <v>-2.032</v>
      </c>
      <c r="Q245" s="115">
        <f t="shared" si="68"/>
        <v>-456.38720000000001</v>
      </c>
      <c r="R245" s="149">
        <f t="shared" si="69"/>
        <v>0</v>
      </c>
      <c r="V245" s="115"/>
    </row>
    <row r="246" spans="1:22" s="8" customFormat="1" ht="17.100000000000001" customHeight="1">
      <c r="A246" s="10">
        <v>4</v>
      </c>
      <c r="B246" s="133" t="s">
        <v>374</v>
      </c>
      <c r="C246" s="397" t="s">
        <v>375</v>
      </c>
      <c r="D246" s="333">
        <v>1</v>
      </c>
      <c r="E246" s="230">
        <v>1.9</v>
      </c>
      <c r="F246" s="149">
        <f t="shared" si="60"/>
        <v>1.9</v>
      </c>
      <c r="G246" s="334">
        <v>48.9</v>
      </c>
      <c r="H246" s="149">
        <f t="shared" si="61"/>
        <v>124.206</v>
      </c>
      <c r="I246" s="115">
        <f t="shared" si="62"/>
        <v>235.9914</v>
      </c>
      <c r="J246" s="335">
        <v>0</v>
      </c>
      <c r="K246" s="115">
        <f t="shared" si="63"/>
        <v>0</v>
      </c>
      <c r="L246" s="336">
        <f t="shared" si="64"/>
        <v>48.9</v>
      </c>
      <c r="M246" s="149">
        <f t="shared" si="65"/>
        <v>124.206</v>
      </c>
      <c r="N246" s="115">
        <f t="shared" si="66"/>
        <v>0</v>
      </c>
      <c r="O246" s="337">
        <v>-0.5</v>
      </c>
      <c r="P246" s="149">
        <f t="shared" si="67"/>
        <v>-1.27</v>
      </c>
      <c r="Q246" s="115">
        <f t="shared" si="68"/>
        <v>-2.4129999999999998</v>
      </c>
      <c r="R246" s="149">
        <f t="shared" si="69"/>
        <v>0</v>
      </c>
      <c r="V246" s="115"/>
    </row>
    <row r="247" spans="1:22" s="8" customFormat="1" ht="17.100000000000001" customHeight="1">
      <c r="A247" s="10">
        <v>4</v>
      </c>
      <c r="B247" s="133" t="s">
        <v>376</v>
      </c>
      <c r="C247" s="397" t="s">
        <v>508</v>
      </c>
      <c r="D247" s="333">
        <v>1</v>
      </c>
      <c r="E247" s="230">
        <v>25.1</v>
      </c>
      <c r="F247" s="149">
        <f t="shared" si="60"/>
        <v>25.1</v>
      </c>
      <c r="G247" s="334">
        <v>48.9</v>
      </c>
      <c r="H247" s="149">
        <f t="shared" si="61"/>
        <v>124.206</v>
      </c>
      <c r="I247" s="115">
        <f t="shared" si="62"/>
        <v>3117.5706000000005</v>
      </c>
      <c r="J247" s="335">
        <v>0</v>
      </c>
      <c r="K247" s="115">
        <f t="shared" si="63"/>
        <v>0</v>
      </c>
      <c r="L247" s="336">
        <f t="shared" si="64"/>
        <v>48.9</v>
      </c>
      <c r="M247" s="149">
        <f t="shared" si="65"/>
        <v>124.206</v>
      </c>
      <c r="N247" s="115">
        <f t="shared" si="66"/>
        <v>0</v>
      </c>
      <c r="O247" s="337">
        <v>-0.9</v>
      </c>
      <c r="P247" s="149">
        <f t="shared" si="67"/>
        <v>-2.286</v>
      </c>
      <c r="Q247" s="115">
        <f t="shared" si="68"/>
        <v>-57.378600000000006</v>
      </c>
      <c r="R247" s="149">
        <f t="shared" si="69"/>
        <v>0</v>
      </c>
      <c r="V247" s="115"/>
    </row>
    <row r="248" spans="1:22" s="8" customFormat="1" ht="17.100000000000001" customHeight="1">
      <c r="A248" s="10">
        <v>4</v>
      </c>
      <c r="B248" s="133" t="s">
        <v>509</v>
      </c>
      <c r="C248" s="397" t="s">
        <v>510</v>
      </c>
      <c r="D248" s="333">
        <v>1</v>
      </c>
      <c r="E248" s="230">
        <v>20.2</v>
      </c>
      <c r="F248" s="149">
        <f t="shared" si="60"/>
        <v>20.2</v>
      </c>
      <c r="G248" s="334">
        <v>47</v>
      </c>
      <c r="H248" s="149">
        <f t="shared" si="61"/>
        <v>119.38</v>
      </c>
      <c r="I248" s="401">
        <f t="shared" si="62"/>
        <v>2411.4759999999997</v>
      </c>
      <c r="J248" s="288">
        <v>0</v>
      </c>
      <c r="K248" s="115">
        <f t="shared" si="63"/>
        <v>0</v>
      </c>
      <c r="L248" s="336">
        <f t="shared" si="64"/>
        <v>47</v>
      </c>
      <c r="M248" s="149">
        <f t="shared" si="65"/>
        <v>119.38</v>
      </c>
      <c r="N248" s="115"/>
      <c r="O248" s="337">
        <v>0</v>
      </c>
      <c r="P248" s="149">
        <f t="shared" si="67"/>
        <v>0</v>
      </c>
      <c r="Q248" s="115">
        <f t="shared" si="68"/>
        <v>0</v>
      </c>
      <c r="R248" s="149">
        <f t="shared" si="69"/>
        <v>0</v>
      </c>
      <c r="V248" s="115"/>
    </row>
    <row r="249" spans="1:22" s="8" customFormat="1" ht="17.100000000000001" customHeight="1">
      <c r="A249" s="10"/>
      <c r="B249" s="407"/>
      <c r="C249" s="10"/>
      <c r="D249" s="333"/>
      <c r="E249" s="230"/>
      <c r="F249" s="149"/>
      <c r="G249" s="334"/>
      <c r="H249" s="149"/>
      <c r="I249" s="115"/>
      <c r="J249" s="335"/>
      <c r="K249" s="115"/>
      <c r="L249" s="336"/>
      <c r="M249" s="149"/>
      <c r="N249" s="115"/>
      <c r="O249" s="337"/>
      <c r="P249" s="149"/>
      <c r="Q249" s="115"/>
      <c r="R249" s="149"/>
      <c r="V249" s="115"/>
    </row>
    <row r="250" spans="1:22" s="8" customFormat="1" ht="17.100000000000001" customHeight="1">
      <c r="A250" s="10">
        <v>3</v>
      </c>
      <c r="B250" s="396" t="s">
        <v>511</v>
      </c>
      <c r="C250" s="408">
        <v>52346</v>
      </c>
      <c r="D250" s="220"/>
      <c r="E250" s="230"/>
      <c r="F250" s="149"/>
      <c r="G250" s="334"/>
      <c r="H250" s="149"/>
      <c r="I250" s="115"/>
      <c r="J250" s="335"/>
      <c r="K250" s="115"/>
      <c r="L250" s="336"/>
      <c r="M250" s="149"/>
      <c r="N250" s="115"/>
      <c r="O250" s="337"/>
      <c r="P250" s="149"/>
      <c r="Q250" s="115"/>
      <c r="R250" s="149"/>
      <c r="V250" s="115"/>
    </row>
    <row r="251" spans="1:22" s="8" customFormat="1" ht="17.100000000000001" customHeight="1">
      <c r="A251" s="10"/>
      <c r="B251" s="6" t="s">
        <v>300</v>
      </c>
      <c r="C251" s="149">
        <f>(SUM(F254:F271))-F255+E255</f>
        <v>1154.3999999999999</v>
      </c>
      <c r="D251" s="220" t="s">
        <v>238</v>
      </c>
      <c r="E251" s="354" t="s">
        <v>245</v>
      </c>
      <c r="F251" s="149"/>
      <c r="G251" s="334"/>
      <c r="H251" s="149"/>
      <c r="I251" s="115"/>
      <c r="J251" s="335"/>
      <c r="K251" s="115"/>
      <c r="L251" s="336"/>
      <c r="M251" s="149"/>
      <c r="N251" s="115"/>
      <c r="O251" s="337"/>
      <c r="P251" s="149"/>
      <c r="Q251" s="115"/>
      <c r="R251" s="149"/>
      <c r="V251" s="115"/>
    </row>
    <row r="252" spans="1:22" s="8" customFormat="1" ht="17.100000000000001" customHeight="1">
      <c r="A252" s="10"/>
      <c r="B252" s="6" t="s">
        <v>403</v>
      </c>
      <c r="C252" s="230">
        <v>1165</v>
      </c>
      <c r="D252" s="220" t="s">
        <v>238</v>
      </c>
      <c r="E252" s="365">
        <f>C252-C251</f>
        <v>10.600000000000136</v>
      </c>
      <c r="F252" s="149"/>
      <c r="G252" s="334"/>
      <c r="H252" s="149"/>
      <c r="I252" s="115"/>
      <c r="J252" s="335"/>
      <c r="K252" s="115"/>
      <c r="L252" s="336"/>
      <c r="M252" s="149"/>
      <c r="N252" s="115"/>
      <c r="O252" s="337"/>
      <c r="P252" s="149"/>
      <c r="Q252" s="115"/>
      <c r="R252" s="149"/>
      <c r="V252" s="115"/>
    </row>
    <row r="254" spans="1:22" s="8" customFormat="1" ht="17.100000000000001" customHeight="1">
      <c r="A254" s="10">
        <v>4</v>
      </c>
      <c r="B254" s="133" t="s">
        <v>512</v>
      </c>
      <c r="C254" s="397">
        <v>49811</v>
      </c>
      <c r="D254" s="333">
        <v>1</v>
      </c>
      <c r="E254" s="230">
        <v>138.69999999999999</v>
      </c>
      <c r="F254" s="149">
        <f>E254*D254</f>
        <v>138.69999999999999</v>
      </c>
      <c r="G254" s="334">
        <v>45</v>
      </c>
      <c r="H254" s="149">
        <f t="shared" ref="H254:H271" si="70">G254*2.54</f>
        <v>114.3</v>
      </c>
      <c r="I254" s="115">
        <f t="shared" ref="I254:I271" si="71">F254*H254</f>
        <v>15853.409999999998</v>
      </c>
      <c r="J254" s="335">
        <v>0</v>
      </c>
      <c r="K254" s="115">
        <f t="shared" ref="K254:K271" si="72">J254*D254</f>
        <v>0</v>
      </c>
      <c r="L254" s="336">
        <f t="shared" ref="L254:L271" si="73">G254</f>
        <v>45</v>
      </c>
      <c r="M254" s="149">
        <f t="shared" ref="M254:M271" si="74">L254*2.54</f>
        <v>114.3</v>
      </c>
      <c r="N254" s="115">
        <f t="shared" ref="N254:N271" si="75">K254*M254</f>
        <v>0</v>
      </c>
      <c r="O254" s="337">
        <v>0</v>
      </c>
      <c r="P254" s="149">
        <f t="shared" ref="P254:P271" si="76">O254*2.54</f>
        <v>0</v>
      </c>
      <c r="Q254" s="115">
        <f t="shared" ref="Q254:Q271" si="77">F254*P254</f>
        <v>0</v>
      </c>
      <c r="R254" s="149">
        <f t="shared" ref="R254:R271" si="78">K254*P254</f>
        <v>0</v>
      </c>
      <c r="V254" s="115"/>
    </row>
    <row r="255" spans="1:22" s="8" customFormat="1" ht="17.100000000000001" customHeight="1">
      <c r="A255" s="10">
        <v>4</v>
      </c>
      <c r="B255" s="133" t="s">
        <v>513</v>
      </c>
      <c r="C255" s="397" t="s">
        <v>514</v>
      </c>
      <c r="D255" s="333">
        <v>1</v>
      </c>
      <c r="E255" s="230">
        <v>98.5</v>
      </c>
      <c r="F255" s="402">
        <f>E255*D255+(C20*Cal!D42*Oil_density)</f>
        <v>646.16203265083413</v>
      </c>
      <c r="G255" s="334">
        <f>45+0.5*1.8*C20</f>
        <v>45.693705202130388</v>
      </c>
      <c r="H255" s="149">
        <f t="shared" si="70"/>
        <v>116.06201121341118</v>
      </c>
      <c r="I255" s="115">
        <f t="shared" si="71"/>
        <v>74994.865079201671</v>
      </c>
      <c r="J255" s="335">
        <v>0</v>
      </c>
      <c r="K255" s="115">
        <f t="shared" si="72"/>
        <v>0</v>
      </c>
      <c r="L255" s="336">
        <f t="shared" si="73"/>
        <v>45.693705202130388</v>
      </c>
      <c r="M255" s="149">
        <f t="shared" si="74"/>
        <v>116.06201121341118</v>
      </c>
      <c r="N255" s="115">
        <f t="shared" si="75"/>
        <v>0</v>
      </c>
      <c r="O255" s="337">
        <v>0</v>
      </c>
      <c r="P255" s="149">
        <f t="shared" si="76"/>
        <v>0</v>
      </c>
      <c r="Q255" s="115">
        <f t="shared" si="77"/>
        <v>0</v>
      </c>
      <c r="R255" s="149">
        <f t="shared" si="78"/>
        <v>0</v>
      </c>
      <c r="V255" s="115"/>
    </row>
    <row r="256" spans="1:22" s="8" customFormat="1" ht="17.100000000000001" customHeight="1">
      <c r="A256" s="10">
        <v>4</v>
      </c>
      <c r="B256" s="133" t="s">
        <v>515</v>
      </c>
      <c r="C256" s="397" t="s">
        <v>516</v>
      </c>
      <c r="D256" s="333">
        <v>1</v>
      </c>
      <c r="E256" s="230">
        <v>11.8</v>
      </c>
      <c r="F256" s="149">
        <f t="shared" ref="F256:F271" si="79">E256*D256</f>
        <v>11.8</v>
      </c>
      <c r="G256" s="334">
        <v>45</v>
      </c>
      <c r="H256" s="149">
        <f t="shared" si="70"/>
        <v>114.3</v>
      </c>
      <c r="I256" s="115">
        <f t="shared" si="71"/>
        <v>1348.74</v>
      </c>
      <c r="J256" s="335">
        <v>0</v>
      </c>
      <c r="K256" s="115">
        <f t="shared" si="72"/>
        <v>0</v>
      </c>
      <c r="L256" s="336">
        <f t="shared" si="73"/>
        <v>45</v>
      </c>
      <c r="M256" s="149">
        <f t="shared" si="74"/>
        <v>114.3</v>
      </c>
      <c r="N256" s="115">
        <f t="shared" si="75"/>
        <v>0</v>
      </c>
      <c r="O256" s="337">
        <v>0</v>
      </c>
      <c r="P256" s="149">
        <f t="shared" si="76"/>
        <v>0</v>
      </c>
      <c r="Q256" s="115">
        <f t="shared" si="77"/>
        <v>0</v>
      </c>
      <c r="R256" s="149">
        <f t="shared" si="78"/>
        <v>0</v>
      </c>
      <c r="V256" s="115"/>
    </row>
    <row r="257" spans="1:22" s="8" customFormat="1" ht="17.100000000000001" customHeight="1">
      <c r="A257" s="10">
        <v>4</v>
      </c>
      <c r="B257" s="133" t="s">
        <v>517</v>
      </c>
      <c r="C257" s="397">
        <v>49813</v>
      </c>
      <c r="D257" s="333">
        <v>1</v>
      </c>
      <c r="E257" s="230">
        <v>333</v>
      </c>
      <c r="F257" s="149">
        <f t="shared" si="79"/>
        <v>333</v>
      </c>
      <c r="G257" s="334">
        <v>43.9</v>
      </c>
      <c r="H257" s="149">
        <f t="shared" si="70"/>
        <v>111.506</v>
      </c>
      <c r="I257" s="115">
        <f t="shared" si="71"/>
        <v>37131.498</v>
      </c>
      <c r="J257" s="335">
        <v>0</v>
      </c>
      <c r="K257" s="115">
        <f t="shared" si="72"/>
        <v>0</v>
      </c>
      <c r="L257" s="336">
        <f t="shared" si="73"/>
        <v>43.9</v>
      </c>
      <c r="M257" s="149">
        <f t="shared" si="74"/>
        <v>111.506</v>
      </c>
      <c r="N257" s="115">
        <f t="shared" si="75"/>
        <v>0</v>
      </c>
      <c r="O257" s="337">
        <v>0</v>
      </c>
      <c r="P257" s="149">
        <f t="shared" si="76"/>
        <v>0</v>
      </c>
      <c r="Q257" s="115">
        <f t="shared" si="77"/>
        <v>0</v>
      </c>
      <c r="R257" s="149">
        <f t="shared" si="78"/>
        <v>0</v>
      </c>
      <c r="V257" s="115"/>
    </row>
    <row r="258" spans="1:22" s="8" customFormat="1" ht="33.75" customHeight="1">
      <c r="A258" s="10">
        <v>4</v>
      </c>
      <c r="B258" s="399" t="s">
        <v>518</v>
      </c>
      <c r="C258" s="397" t="s">
        <v>519</v>
      </c>
      <c r="D258" s="333">
        <v>1</v>
      </c>
      <c r="E258" s="230">
        <v>23.5</v>
      </c>
      <c r="F258" s="149">
        <f t="shared" si="79"/>
        <v>23.5</v>
      </c>
      <c r="G258" s="334">
        <v>43.24</v>
      </c>
      <c r="H258" s="149">
        <f t="shared" si="70"/>
        <v>109.82960000000001</v>
      </c>
      <c r="I258" s="115">
        <f t="shared" si="71"/>
        <v>2580.9956000000002</v>
      </c>
      <c r="J258" s="335">
        <v>0</v>
      </c>
      <c r="K258" s="115">
        <f t="shared" si="72"/>
        <v>0</v>
      </c>
      <c r="L258" s="336">
        <f t="shared" si="73"/>
        <v>43.24</v>
      </c>
      <c r="M258" s="149">
        <f t="shared" si="74"/>
        <v>109.82960000000001</v>
      </c>
      <c r="N258" s="115">
        <f t="shared" si="75"/>
        <v>0</v>
      </c>
      <c r="O258" s="337">
        <v>-2.39</v>
      </c>
      <c r="P258" s="149">
        <f t="shared" si="76"/>
        <v>-6.0706000000000007</v>
      </c>
      <c r="Q258" s="115">
        <f t="shared" si="77"/>
        <v>-142.65910000000002</v>
      </c>
      <c r="R258" s="149">
        <f t="shared" si="78"/>
        <v>0</v>
      </c>
      <c r="V258" s="115"/>
    </row>
    <row r="259" spans="1:22" s="8" customFormat="1" ht="17.100000000000001" customHeight="1">
      <c r="A259" s="10">
        <v>4</v>
      </c>
      <c r="B259" s="133" t="s">
        <v>520</v>
      </c>
      <c r="C259" s="397" t="s">
        <v>521</v>
      </c>
      <c r="D259" s="333">
        <v>1</v>
      </c>
      <c r="E259" s="230">
        <v>26.6</v>
      </c>
      <c r="F259" s="149">
        <f t="shared" si="79"/>
        <v>26.6</v>
      </c>
      <c r="G259" s="334">
        <v>43.24</v>
      </c>
      <c r="H259" s="149">
        <f t="shared" si="70"/>
        <v>109.82960000000001</v>
      </c>
      <c r="I259" s="115">
        <f t="shared" si="71"/>
        <v>2921.4673600000006</v>
      </c>
      <c r="J259" s="335">
        <v>0</v>
      </c>
      <c r="K259" s="115">
        <f t="shared" si="72"/>
        <v>0</v>
      </c>
      <c r="L259" s="336">
        <f t="shared" si="73"/>
        <v>43.24</v>
      </c>
      <c r="M259" s="149">
        <f t="shared" si="74"/>
        <v>109.82960000000001</v>
      </c>
      <c r="N259" s="115">
        <f t="shared" si="75"/>
        <v>0</v>
      </c>
      <c r="O259" s="337">
        <v>2.39</v>
      </c>
      <c r="P259" s="149">
        <f t="shared" si="76"/>
        <v>6.0706000000000007</v>
      </c>
      <c r="Q259" s="115">
        <f t="shared" si="77"/>
        <v>161.47796000000002</v>
      </c>
      <c r="R259" s="149">
        <f t="shared" si="78"/>
        <v>0</v>
      </c>
      <c r="V259" s="115"/>
    </row>
    <row r="260" spans="1:22" s="8" customFormat="1" ht="17.100000000000001" customHeight="1">
      <c r="A260" s="10">
        <v>4</v>
      </c>
      <c r="B260" s="133" t="s">
        <v>522</v>
      </c>
      <c r="C260" s="397" t="s">
        <v>523</v>
      </c>
      <c r="D260" s="333">
        <v>1</v>
      </c>
      <c r="E260" s="230">
        <v>25.8</v>
      </c>
      <c r="F260" s="149">
        <f t="shared" si="79"/>
        <v>25.8</v>
      </c>
      <c r="G260" s="334">
        <v>43.24</v>
      </c>
      <c r="H260" s="149">
        <f t="shared" si="70"/>
        <v>109.82960000000001</v>
      </c>
      <c r="I260" s="115">
        <f t="shared" si="71"/>
        <v>2833.6036800000006</v>
      </c>
      <c r="J260" s="335">
        <v>0</v>
      </c>
      <c r="K260" s="115">
        <f t="shared" si="72"/>
        <v>0</v>
      </c>
      <c r="L260" s="336">
        <f t="shared" si="73"/>
        <v>43.24</v>
      </c>
      <c r="M260" s="149">
        <f t="shared" si="74"/>
        <v>109.82960000000001</v>
      </c>
      <c r="N260" s="115">
        <f t="shared" si="75"/>
        <v>0</v>
      </c>
      <c r="O260" s="337">
        <v>0.8</v>
      </c>
      <c r="P260" s="149">
        <f t="shared" si="76"/>
        <v>2.032</v>
      </c>
      <c r="Q260" s="115">
        <f t="shared" si="77"/>
        <v>52.425600000000003</v>
      </c>
      <c r="R260" s="149">
        <f t="shared" si="78"/>
        <v>0</v>
      </c>
      <c r="V260" s="115"/>
    </row>
    <row r="261" spans="1:22" s="8" customFormat="1" ht="17.100000000000001" customHeight="1">
      <c r="A261" s="10">
        <v>4</v>
      </c>
      <c r="B261" s="133" t="s">
        <v>630</v>
      </c>
      <c r="C261" s="397" t="s">
        <v>631</v>
      </c>
      <c r="D261" s="333">
        <v>1</v>
      </c>
      <c r="E261" s="230">
        <v>10.7</v>
      </c>
      <c r="F261" s="149">
        <f t="shared" si="79"/>
        <v>10.7</v>
      </c>
      <c r="G261" s="334">
        <v>43.24</v>
      </c>
      <c r="H261" s="149">
        <f t="shared" si="70"/>
        <v>109.82960000000001</v>
      </c>
      <c r="I261" s="115">
        <f t="shared" si="71"/>
        <v>1175.1767200000002</v>
      </c>
      <c r="J261" s="335">
        <v>0</v>
      </c>
      <c r="K261" s="115">
        <f t="shared" si="72"/>
        <v>0</v>
      </c>
      <c r="L261" s="336">
        <f t="shared" si="73"/>
        <v>43.24</v>
      </c>
      <c r="M261" s="149">
        <f t="shared" si="74"/>
        <v>109.82960000000001</v>
      </c>
      <c r="N261" s="115">
        <f t="shared" si="75"/>
        <v>0</v>
      </c>
      <c r="O261" s="337">
        <v>-0.1</v>
      </c>
      <c r="P261" s="149">
        <f t="shared" si="76"/>
        <v>-0.254</v>
      </c>
      <c r="Q261" s="115">
        <f t="shared" si="77"/>
        <v>-2.7178</v>
      </c>
      <c r="R261" s="149">
        <f t="shared" si="78"/>
        <v>0</v>
      </c>
      <c r="V261" s="115"/>
    </row>
    <row r="262" spans="1:22" s="8" customFormat="1" ht="17.100000000000001" customHeight="1">
      <c r="A262" s="10">
        <v>4</v>
      </c>
      <c r="B262" s="133" t="s">
        <v>632</v>
      </c>
      <c r="C262" s="397" t="s">
        <v>633</v>
      </c>
      <c r="D262" s="333">
        <v>1</v>
      </c>
      <c r="E262" s="230">
        <v>1.9</v>
      </c>
      <c r="F262" s="149">
        <f t="shared" si="79"/>
        <v>1.9</v>
      </c>
      <c r="G262" s="334">
        <v>43.24</v>
      </c>
      <c r="H262" s="149">
        <f t="shared" si="70"/>
        <v>109.82960000000001</v>
      </c>
      <c r="I262" s="115">
        <f t="shared" si="71"/>
        <v>208.67624000000001</v>
      </c>
      <c r="J262" s="335">
        <v>0</v>
      </c>
      <c r="K262" s="115">
        <f t="shared" si="72"/>
        <v>0</v>
      </c>
      <c r="L262" s="336">
        <f t="shared" si="73"/>
        <v>43.24</v>
      </c>
      <c r="M262" s="149">
        <f t="shared" si="74"/>
        <v>109.82960000000001</v>
      </c>
      <c r="N262" s="115">
        <f t="shared" si="75"/>
        <v>0</v>
      </c>
      <c r="O262" s="337">
        <v>3</v>
      </c>
      <c r="P262" s="149">
        <f t="shared" si="76"/>
        <v>7.62</v>
      </c>
      <c r="Q262" s="115">
        <f t="shared" si="77"/>
        <v>14.478</v>
      </c>
      <c r="R262" s="149">
        <f t="shared" si="78"/>
        <v>0</v>
      </c>
      <c r="V262" s="115"/>
    </row>
    <row r="263" spans="1:22" s="8" customFormat="1" ht="17.100000000000001" customHeight="1">
      <c r="A263" s="10">
        <v>4</v>
      </c>
      <c r="B263" s="133" t="s">
        <v>634</v>
      </c>
      <c r="C263" s="397">
        <v>49812</v>
      </c>
      <c r="D263" s="333">
        <v>1</v>
      </c>
      <c r="E263" s="230">
        <v>422</v>
      </c>
      <c r="F263" s="149">
        <f t="shared" si="79"/>
        <v>422</v>
      </c>
      <c r="G263" s="334">
        <v>45.3</v>
      </c>
      <c r="H263" s="149">
        <f t="shared" si="70"/>
        <v>115.062</v>
      </c>
      <c r="I263" s="115">
        <f t="shared" si="71"/>
        <v>48556.163999999997</v>
      </c>
      <c r="J263" s="335">
        <v>0</v>
      </c>
      <c r="K263" s="115">
        <f t="shared" si="72"/>
        <v>0</v>
      </c>
      <c r="L263" s="336">
        <f t="shared" si="73"/>
        <v>45.3</v>
      </c>
      <c r="M263" s="149">
        <f t="shared" si="74"/>
        <v>115.062</v>
      </c>
      <c r="N263" s="115">
        <f t="shared" si="75"/>
        <v>0</v>
      </c>
      <c r="O263" s="337">
        <v>0</v>
      </c>
      <c r="P263" s="149">
        <f t="shared" si="76"/>
        <v>0</v>
      </c>
      <c r="Q263" s="115">
        <f t="shared" si="77"/>
        <v>0</v>
      </c>
      <c r="R263" s="149">
        <f t="shared" si="78"/>
        <v>0</v>
      </c>
      <c r="V263" s="115"/>
    </row>
    <row r="264" spans="1:22" s="8" customFormat="1" ht="17.100000000000001" customHeight="1">
      <c r="A264" s="10">
        <v>4</v>
      </c>
      <c r="B264" s="133" t="s">
        <v>635</v>
      </c>
      <c r="C264" s="397" t="s">
        <v>636</v>
      </c>
      <c r="D264" s="333">
        <v>1</v>
      </c>
      <c r="E264" s="230">
        <v>7.5</v>
      </c>
      <c r="F264" s="149">
        <f t="shared" si="79"/>
        <v>7.5</v>
      </c>
      <c r="G264" s="334">
        <v>43.56</v>
      </c>
      <c r="H264" s="149">
        <f t="shared" si="70"/>
        <v>110.64240000000001</v>
      </c>
      <c r="I264" s="115">
        <f t="shared" si="71"/>
        <v>829.8180000000001</v>
      </c>
      <c r="J264" s="335">
        <v>0</v>
      </c>
      <c r="K264" s="115">
        <f t="shared" si="72"/>
        <v>0</v>
      </c>
      <c r="L264" s="336">
        <f t="shared" si="73"/>
        <v>43.56</v>
      </c>
      <c r="M264" s="149">
        <f t="shared" si="74"/>
        <v>110.64240000000001</v>
      </c>
      <c r="N264" s="115">
        <f t="shared" si="75"/>
        <v>0</v>
      </c>
      <c r="O264" s="337">
        <v>0</v>
      </c>
      <c r="P264" s="149">
        <f t="shared" si="76"/>
        <v>0</v>
      </c>
      <c r="Q264" s="115">
        <f t="shared" si="77"/>
        <v>0</v>
      </c>
      <c r="R264" s="149">
        <f t="shared" si="78"/>
        <v>0</v>
      </c>
      <c r="V264" s="115"/>
    </row>
    <row r="265" spans="1:22" s="8" customFormat="1" ht="17.100000000000001" customHeight="1">
      <c r="A265" s="10">
        <v>4</v>
      </c>
      <c r="B265" s="133" t="s">
        <v>637</v>
      </c>
      <c r="C265" s="397" t="s">
        <v>638</v>
      </c>
      <c r="D265" s="333">
        <v>1</v>
      </c>
      <c r="E265" s="230">
        <v>12.4</v>
      </c>
      <c r="F265" s="149">
        <f t="shared" si="79"/>
        <v>12.4</v>
      </c>
      <c r="G265" s="334">
        <v>47.75</v>
      </c>
      <c r="H265" s="149">
        <f t="shared" si="70"/>
        <v>121.285</v>
      </c>
      <c r="I265" s="115">
        <f t="shared" si="71"/>
        <v>1503.934</v>
      </c>
      <c r="J265" s="335">
        <v>0</v>
      </c>
      <c r="K265" s="115">
        <f t="shared" si="72"/>
        <v>0</v>
      </c>
      <c r="L265" s="336">
        <f t="shared" si="73"/>
        <v>47.75</v>
      </c>
      <c r="M265" s="149">
        <f t="shared" si="74"/>
        <v>121.285</v>
      </c>
      <c r="N265" s="115">
        <f t="shared" si="75"/>
        <v>0</v>
      </c>
      <c r="O265" s="337">
        <v>2.6</v>
      </c>
      <c r="P265" s="149">
        <f t="shared" si="76"/>
        <v>6.6040000000000001</v>
      </c>
      <c r="Q265" s="115">
        <f t="shared" si="77"/>
        <v>81.889600000000002</v>
      </c>
      <c r="R265" s="149">
        <f t="shared" si="78"/>
        <v>0</v>
      </c>
      <c r="V265" s="115"/>
    </row>
    <row r="266" spans="1:22" s="8" customFormat="1" ht="17.100000000000001" customHeight="1">
      <c r="A266" s="10">
        <v>4</v>
      </c>
      <c r="B266" s="133" t="s">
        <v>639</v>
      </c>
      <c r="C266" s="397" t="s">
        <v>638</v>
      </c>
      <c r="D266" s="333">
        <v>1</v>
      </c>
      <c r="E266" s="230">
        <v>12.5</v>
      </c>
      <c r="F266" s="149">
        <f t="shared" si="79"/>
        <v>12.5</v>
      </c>
      <c r="G266" s="334">
        <v>47.75</v>
      </c>
      <c r="H266" s="149">
        <f t="shared" si="70"/>
        <v>121.285</v>
      </c>
      <c r="I266" s="115">
        <f t="shared" si="71"/>
        <v>1516.0625</v>
      </c>
      <c r="J266" s="335">
        <v>0</v>
      </c>
      <c r="K266" s="115">
        <f t="shared" si="72"/>
        <v>0</v>
      </c>
      <c r="L266" s="336">
        <f t="shared" si="73"/>
        <v>47.75</v>
      </c>
      <c r="M266" s="149">
        <f t="shared" si="74"/>
        <v>121.285</v>
      </c>
      <c r="N266" s="115">
        <f t="shared" si="75"/>
        <v>0</v>
      </c>
      <c r="O266" s="337">
        <v>-2.6</v>
      </c>
      <c r="P266" s="149">
        <f t="shared" si="76"/>
        <v>-6.6040000000000001</v>
      </c>
      <c r="Q266" s="115">
        <f t="shared" si="77"/>
        <v>-82.55</v>
      </c>
      <c r="R266" s="149">
        <f t="shared" si="78"/>
        <v>0</v>
      </c>
      <c r="V266" s="115"/>
    </row>
    <row r="267" spans="1:22" s="8" customFormat="1" ht="17.100000000000001" customHeight="1">
      <c r="A267" s="10">
        <v>4</v>
      </c>
      <c r="B267" s="133" t="s">
        <v>640</v>
      </c>
      <c r="C267" s="397" t="s">
        <v>641</v>
      </c>
      <c r="D267" s="333">
        <v>1</v>
      </c>
      <c r="E267" s="230">
        <v>4.5999999999999996</v>
      </c>
      <c r="F267" s="149">
        <f t="shared" si="79"/>
        <v>4.5999999999999996</v>
      </c>
      <c r="G267" s="334">
        <v>47.5</v>
      </c>
      <c r="H267" s="149">
        <f t="shared" si="70"/>
        <v>120.65</v>
      </c>
      <c r="I267" s="115">
        <f t="shared" si="71"/>
        <v>554.99</v>
      </c>
      <c r="J267" s="335">
        <v>0</v>
      </c>
      <c r="K267" s="115">
        <f t="shared" si="72"/>
        <v>0</v>
      </c>
      <c r="L267" s="336">
        <f t="shared" si="73"/>
        <v>47.5</v>
      </c>
      <c r="M267" s="149">
        <f t="shared" si="74"/>
        <v>120.65</v>
      </c>
      <c r="N267" s="115">
        <f t="shared" si="75"/>
        <v>0</v>
      </c>
      <c r="O267" s="337">
        <v>0</v>
      </c>
      <c r="P267" s="149">
        <f t="shared" si="76"/>
        <v>0</v>
      </c>
      <c r="Q267" s="115">
        <f t="shared" si="77"/>
        <v>0</v>
      </c>
      <c r="R267" s="149">
        <f t="shared" si="78"/>
        <v>0</v>
      </c>
      <c r="V267" s="115"/>
    </row>
    <row r="268" spans="1:22" s="8" customFormat="1" ht="17.100000000000001" customHeight="1">
      <c r="A268" s="10">
        <v>4</v>
      </c>
      <c r="B268" s="133" t="s">
        <v>642</v>
      </c>
      <c r="C268" s="10" t="s">
        <v>532</v>
      </c>
      <c r="D268" s="333">
        <v>1</v>
      </c>
      <c r="E268" s="230">
        <v>5.0999999999999996</v>
      </c>
      <c r="F268" s="149">
        <f t="shared" si="79"/>
        <v>5.0999999999999996</v>
      </c>
      <c r="G268" s="334">
        <v>45.5</v>
      </c>
      <c r="H268" s="149">
        <f t="shared" si="70"/>
        <v>115.57000000000001</v>
      </c>
      <c r="I268" s="115">
        <f t="shared" si="71"/>
        <v>589.40700000000004</v>
      </c>
      <c r="J268" s="335">
        <v>0</v>
      </c>
      <c r="K268" s="115">
        <f t="shared" si="72"/>
        <v>0</v>
      </c>
      <c r="L268" s="336">
        <f t="shared" si="73"/>
        <v>45.5</v>
      </c>
      <c r="M268" s="149">
        <f t="shared" si="74"/>
        <v>115.57000000000001</v>
      </c>
      <c r="N268" s="115">
        <f t="shared" si="75"/>
        <v>0</v>
      </c>
      <c r="O268" s="337">
        <v>3.2</v>
      </c>
      <c r="P268" s="149">
        <f t="shared" si="76"/>
        <v>8.1280000000000001</v>
      </c>
      <c r="Q268" s="115">
        <f t="shared" si="77"/>
        <v>41.452799999999996</v>
      </c>
      <c r="R268" s="149">
        <f t="shared" si="78"/>
        <v>0</v>
      </c>
      <c r="V268" s="115"/>
    </row>
    <row r="269" spans="1:22" s="8" customFormat="1" ht="17.100000000000001" customHeight="1">
      <c r="A269" s="10">
        <v>4</v>
      </c>
      <c r="B269" s="133" t="s">
        <v>533</v>
      </c>
      <c r="C269" s="10" t="s">
        <v>534</v>
      </c>
      <c r="D269" s="333">
        <v>1</v>
      </c>
      <c r="E269" s="230">
        <v>6.5</v>
      </c>
      <c r="F269" s="149">
        <f t="shared" si="79"/>
        <v>6.5</v>
      </c>
      <c r="G269" s="334">
        <v>45.5</v>
      </c>
      <c r="H269" s="149">
        <f t="shared" si="70"/>
        <v>115.57000000000001</v>
      </c>
      <c r="I269" s="115">
        <f t="shared" si="71"/>
        <v>751.20500000000004</v>
      </c>
      <c r="J269" s="335">
        <v>0</v>
      </c>
      <c r="K269" s="115">
        <f t="shared" si="72"/>
        <v>0</v>
      </c>
      <c r="L269" s="336">
        <f t="shared" si="73"/>
        <v>45.5</v>
      </c>
      <c r="M269" s="149">
        <f t="shared" si="74"/>
        <v>115.57000000000001</v>
      </c>
      <c r="N269" s="115">
        <f t="shared" si="75"/>
        <v>0</v>
      </c>
      <c r="O269" s="337">
        <v>1.5</v>
      </c>
      <c r="P269" s="149">
        <f t="shared" si="76"/>
        <v>3.81</v>
      </c>
      <c r="Q269" s="115">
        <f t="shared" si="77"/>
        <v>24.765000000000001</v>
      </c>
      <c r="R269" s="149">
        <f t="shared" si="78"/>
        <v>0</v>
      </c>
      <c r="V269" s="115"/>
    </row>
    <row r="270" spans="1:22" s="8" customFormat="1" ht="17.100000000000001" customHeight="1">
      <c r="A270" s="10">
        <v>4</v>
      </c>
      <c r="B270" s="133" t="s">
        <v>535</v>
      </c>
      <c r="C270" s="10" t="s">
        <v>534</v>
      </c>
      <c r="D270" s="333">
        <v>1</v>
      </c>
      <c r="E270" s="230">
        <v>6.6</v>
      </c>
      <c r="F270" s="149">
        <f t="shared" si="79"/>
        <v>6.6</v>
      </c>
      <c r="G270" s="334">
        <v>45.5</v>
      </c>
      <c r="H270" s="149">
        <f t="shared" si="70"/>
        <v>115.57000000000001</v>
      </c>
      <c r="I270" s="115">
        <f t="shared" si="71"/>
        <v>762.76200000000006</v>
      </c>
      <c r="J270" s="335">
        <v>0</v>
      </c>
      <c r="K270" s="115">
        <f t="shared" si="72"/>
        <v>0</v>
      </c>
      <c r="L270" s="336">
        <f t="shared" si="73"/>
        <v>45.5</v>
      </c>
      <c r="M270" s="149">
        <f t="shared" si="74"/>
        <v>115.57000000000001</v>
      </c>
      <c r="N270" s="115">
        <f t="shared" si="75"/>
        <v>0</v>
      </c>
      <c r="O270" s="337">
        <v>-1.5</v>
      </c>
      <c r="P270" s="149">
        <f t="shared" si="76"/>
        <v>-3.81</v>
      </c>
      <c r="Q270" s="115">
        <f t="shared" si="77"/>
        <v>-25.145999999999997</v>
      </c>
      <c r="R270" s="149">
        <f t="shared" si="78"/>
        <v>0</v>
      </c>
      <c r="V270" s="115"/>
    </row>
    <row r="271" spans="1:22" s="8" customFormat="1" ht="33.75" customHeight="1">
      <c r="A271" s="10">
        <v>4</v>
      </c>
      <c r="B271" s="399" t="s">
        <v>536</v>
      </c>
      <c r="C271" s="10" t="s">
        <v>534</v>
      </c>
      <c r="D271" s="333">
        <v>1</v>
      </c>
      <c r="E271" s="230">
        <v>6.7</v>
      </c>
      <c r="F271" s="149">
        <f t="shared" si="79"/>
        <v>6.7</v>
      </c>
      <c r="G271" s="334">
        <v>45.5</v>
      </c>
      <c r="H271" s="149">
        <f t="shared" si="70"/>
        <v>115.57000000000001</v>
      </c>
      <c r="I271" s="115">
        <f t="shared" si="71"/>
        <v>774.31900000000007</v>
      </c>
      <c r="J271" s="335">
        <v>0</v>
      </c>
      <c r="K271" s="115">
        <f t="shared" si="72"/>
        <v>0</v>
      </c>
      <c r="L271" s="336">
        <f t="shared" si="73"/>
        <v>45.5</v>
      </c>
      <c r="M271" s="149">
        <f t="shared" si="74"/>
        <v>115.57000000000001</v>
      </c>
      <c r="N271" s="115">
        <f t="shared" si="75"/>
        <v>0</v>
      </c>
      <c r="O271" s="337">
        <v>-3.2</v>
      </c>
      <c r="P271" s="149">
        <f t="shared" si="76"/>
        <v>-8.1280000000000001</v>
      </c>
      <c r="Q271" s="115">
        <f t="shared" si="77"/>
        <v>-54.457599999999999</v>
      </c>
      <c r="R271" s="149">
        <f t="shared" si="78"/>
        <v>0</v>
      </c>
      <c r="V271" s="115"/>
    </row>
    <row r="272" spans="1:22" ht="17.100000000000001" customHeight="1">
      <c r="B272" s="117" t="s">
        <v>537</v>
      </c>
    </row>
    <row r="273" spans="1:22" s="8" customFormat="1" ht="33.75" customHeight="1">
      <c r="A273" s="10">
        <v>3</v>
      </c>
      <c r="B273" s="399" t="s">
        <v>538</v>
      </c>
      <c r="C273" s="409" t="s">
        <v>539</v>
      </c>
      <c r="D273" s="333">
        <v>1</v>
      </c>
      <c r="E273" s="230">
        <v>40.9</v>
      </c>
      <c r="F273" s="149">
        <f>E273*D273</f>
        <v>40.9</v>
      </c>
      <c r="G273" s="334">
        <v>47.75</v>
      </c>
      <c r="H273" s="149">
        <f>G273*2.54</f>
        <v>121.285</v>
      </c>
      <c r="I273" s="115">
        <f>F273*H273</f>
        <v>4960.5564999999997</v>
      </c>
      <c r="J273" s="335">
        <v>0</v>
      </c>
      <c r="K273" s="115">
        <f>J273*D273</f>
        <v>0</v>
      </c>
      <c r="L273" s="336">
        <f>G273</f>
        <v>47.75</v>
      </c>
      <c r="M273" s="149">
        <f>L273*2.54</f>
        <v>121.285</v>
      </c>
      <c r="N273" s="115">
        <f>K273*M273</f>
        <v>0</v>
      </c>
      <c r="O273" s="337">
        <v>2.5</v>
      </c>
      <c r="P273" s="149">
        <f>O273*2.54</f>
        <v>6.35</v>
      </c>
      <c r="Q273" s="115">
        <f>F273*P273</f>
        <v>259.71499999999997</v>
      </c>
      <c r="R273" s="149">
        <f>K273*P273</f>
        <v>0</v>
      </c>
      <c r="V273" s="115"/>
    </row>
    <row r="274" spans="1:22" s="8" customFormat="1" ht="33.75" customHeight="1">
      <c r="A274" s="10">
        <v>3</v>
      </c>
      <c r="B274" s="399" t="s">
        <v>540</v>
      </c>
      <c r="C274" s="409" t="s">
        <v>541</v>
      </c>
      <c r="D274" s="333">
        <v>1</v>
      </c>
      <c r="E274" s="230">
        <v>39.200000000000003</v>
      </c>
      <c r="F274" s="149">
        <f>E274*D274</f>
        <v>39.200000000000003</v>
      </c>
      <c r="G274" s="334">
        <v>47.75</v>
      </c>
      <c r="H274" s="149">
        <f>G274*2.54</f>
        <v>121.285</v>
      </c>
      <c r="I274" s="115">
        <f>F274*H274</f>
        <v>4754.3720000000003</v>
      </c>
      <c r="J274" s="335">
        <v>0</v>
      </c>
      <c r="K274" s="115">
        <f>J274*D274</f>
        <v>0</v>
      </c>
      <c r="L274" s="336">
        <f>G274</f>
        <v>47.75</v>
      </c>
      <c r="M274" s="149">
        <f>L274*2.54</f>
        <v>121.285</v>
      </c>
      <c r="N274" s="115">
        <f>K274*M274</f>
        <v>0</v>
      </c>
      <c r="O274" s="337">
        <v>2.5</v>
      </c>
      <c r="P274" s="149">
        <f>O274*2.54</f>
        <v>6.35</v>
      </c>
      <c r="Q274" s="115">
        <f>F274*P274</f>
        <v>248.92000000000002</v>
      </c>
      <c r="R274" s="149">
        <f>K274*P274</f>
        <v>0</v>
      </c>
      <c r="V274" s="115"/>
    </row>
    <row r="275" spans="1:22" s="8" customFormat="1" ht="26.1" customHeight="1">
      <c r="A275" s="10">
        <v>3</v>
      </c>
      <c r="B275" s="580" t="s">
        <v>542</v>
      </c>
      <c r="C275" s="406" t="s">
        <v>543</v>
      </c>
      <c r="D275" s="333">
        <v>1</v>
      </c>
      <c r="E275" s="230">
        <v>2.6</v>
      </c>
      <c r="F275" s="149">
        <f>E275*D275</f>
        <v>2.6</v>
      </c>
      <c r="G275" s="334">
        <v>47.64</v>
      </c>
      <c r="H275" s="149">
        <f>G275*2.54</f>
        <v>121.0056</v>
      </c>
      <c r="I275" s="115">
        <f>F275*H275</f>
        <v>314.61456000000004</v>
      </c>
      <c r="J275" s="335">
        <v>0</v>
      </c>
      <c r="K275" s="115">
        <f>J275*D275</f>
        <v>0</v>
      </c>
      <c r="L275" s="336">
        <f>G275</f>
        <v>47.64</v>
      </c>
      <c r="M275" s="149">
        <f>L275*2.54</f>
        <v>121.0056</v>
      </c>
      <c r="N275" s="115">
        <f>K275*M275</f>
        <v>0</v>
      </c>
      <c r="O275" s="337">
        <v>0</v>
      </c>
      <c r="P275" s="149">
        <f>O275*2.54</f>
        <v>0</v>
      </c>
      <c r="Q275" s="115">
        <f>F275*P275</f>
        <v>0</v>
      </c>
      <c r="R275" s="149">
        <f>K275*P275</f>
        <v>0</v>
      </c>
      <c r="V275" s="115"/>
    </row>
    <row r="276" spans="1:22" s="126" customFormat="1" ht="16.5" customHeight="1">
      <c r="A276" s="124">
        <v>3</v>
      </c>
      <c r="B276" s="290" t="s">
        <v>544</v>
      </c>
      <c r="C276" s="293" t="s">
        <v>411</v>
      </c>
      <c r="D276" s="224">
        <v>1</v>
      </c>
      <c r="E276" s="230">
        <v>2.7</v>
      </c>
      <c r="F276" s="231">
        <f>E276*D276</f>
        <v>2.7</v>
      </c>
      <c r="G276" s="252">
        <v>48.28</v>
      </c>
      <c r="H276" s="231">
        <f>G276*2.54</f>
        <v>122.63120000000001</v>
      </c>
      <c r="I276" s="151">
        <f>F276*H276</f>
        <v>331.10424000000006</v>
      </c>
      <c r="J276" s="335">
        <v>0</v>
      </c>
      <c r="K276" s="151">
        <f>J276*D276</f>
        <v>0</v>
      </c>
      <c r="L276" s="254">
        <f>G276</f>
        <v>48.28</v>
      </c>
      <c r="M276" s="231">
        <f>L276*2.54</f>
        <v>122.63120000000001</v>
      </c>
      <c r="N276" s="151">
        <f>K276*M276</f>
        <v>0</v>
      </c>
      <c r="O276" s="233">
        <v>0</v>
      </c>
      <c r="P276" s="231">
        <f>O276*2.54</f>
        <v>0</v>
      </c>
      <c r="Q276" s="151">
        <f>F276*P276</f>
        <v>0</v>
      </c>
      <c r="R276" s="231">
        <f>K276*P276</f>
        <v>0</v>
      </c>
      <c r="V276" s="151"/>
    </row>
    <row r="277" spans="1:22" s="8" customFormat="1" ht="17.100000000000001" customHeight="1">
      <c r="A277" s="10">
        <v>3</v>
      </c>
      <c r="B277" s="133" t="s">
        <v>545</v>
      </c>
      <c r="C277" s="397" t="s">
        <v>411</v>
      </c>
      <c r="D277" s="333">
        <v>1</v>
      </c>
      <c r="E277" s="230">
        <v>5.2</v>
      </c>
      <c r="F277" s="149">
        <f>E277*D277</f>
        <v>5.2</v>
      </c>
      <c r="G277" s="334">
        <v>47.9</v>
      </c>
      <c r="H277" s="149">
        <f>G277*2.54</f>
        <v>121.666</v>
      </c>
      <c r="I277" s="115">
        <f>F277*H277</f>
        <v>632.66319999999996</v>
      </c>
      <c r="J277" s="335">
        <v>0</v>
      </c>
      <c r="K277" s="115">
        <f>J277*D277</f>
        <v>0</v>
      </c>
      <c r="L277" s="336">
        <f>G277</f>
        <v>47.9</v>
      </c>
      <c r="M277" s="149">
        <f>L277*2.54</f>
        <v>121.666</v>
      </c>
      <c r="N277" s="115">
        <f>K277*M277</f>
        <v>0</v>
      </c>
      <c r="O277" s="337">
        <v>0</v>
      </c>
      <c r="P277" s="149">
        <f>O277*2.54</f>
        <v>0</v>
      </c>
      <c r="Q277" s="115">
        <f>F277*P277</f>
        <v>0</v>
      </c>
      <c r="R277" s="149">
        <f>K277*P277</f>
        <v>0</v>
      </c>
      <c r="V277" s="115"/>
    </row>
    <row r="278" spans="1:22" s="8" customFormat="1" ht="17.100000000000001" customHeight="1">
      <c r="A278" s="10"/>
      <c r="B278" s="10" t="s">
        <v>429</v>
      </c>
      <c r="C278" s="10"/>
      <c r="D278" s="333"/>
      <c r="E278" s="230"/>
      <c r="F278" s="149"/>
      <c r="G278" s="334"/>
      <c r="H278" s="149"/>
      <c r="I278" s="115"/>
      <c r="J278" s="335"/>
      <c r="K278" s="115"/>
      <c r="L278" s="336"/>
      <c r="M278" s="149"/>
      <c r="N278" s="115"/>
      <c r="O278" s="337"/>
      <c r="P278" s="149"/>
      <c r="Q278" s="115"/>
      <c r="R278" s="149"/>
      <c r="V278" s="115"/>
    </row>
    <row r="279" spans="1:22" s="8" customFormat="1" ht="17.100000000000001" customHeight="1">
      <c r="A279" s="10">
        <v>3</v>
      </c>
      <c r="B279" s="133" t="s">
        <v>430</v>
      </c>
      <c r="C279" s="397" t="s">
        <v>431</v>
      </c>
      <c r="D279" s="333">
        <v>1</v>
      </c>
      <c r="E279" s="230">
        <v>25.1</v>
      </c>
      <c r="F279" s="149">
        <f t="shared" ref="F279:F292" si="80">E279*D279</f>
        <v>25.1</v>
      </c>
      <c r="G279" s="334">
        <v>45.5</v>
      </c>
      <c r="H279" s="149">
        <f t="shared" ref="H279:H292" si="81">G279*2.54</f>
        <v>115.57000000000001</v>
      </c>
      <c r="I279" s="115">
        <f t="shared" ref="I279:I292" si="82">F279*H279</f>
        <v>2900.8070000000002</v>
      </c>
      <c r="J279" s="335">
        <v>0</v>
      </c>
      <c r="K279" s="115">
        <f t="shared" ref="K279:K292" si="83">J279*D279</f>
        <v>0</v>
      </c>
      <c r="L279" s="336">
        <f t="shared" ref="L279:L292" si="84">G279</f>
        <v>45.5</v>
      </c>
      <c r="M279" s="149">
        <f t="shared" ref="M279:M292" si="85">L279*2.54</f>
        <v>115.57000000000001</v>
      </c>
      <c r="N279" s="115">
        <f t="shared" ref="N279:N292" si="86">K279*M279</f>
        <v>0</v>
      </c>
      <c r="O279" s="337">
        <v>3.4</v>
      </c>
      <c r="P279" s="149">
        <f t="shared" ref="P279:P292" si="87">O279*2.54</f>
        <v>8.6359999999999992</v>
      </c>
      <c r="Q279" s="115">
        <f t="shared" ref="Q279:Q292" si="88">F279*P279</f>
        <v>216.7636</v>
      </c>
      <c r="R279" s="149">
        <f t="shared" ref="R279:R292" si="89">K279*P279</f>
        <v>0</v>
      </c>
      <c r="V279" s="115"/>
    </row>
    <row r="280" spans="1:22" s="8" customFormat="1" ht="17.100000000000001" customHeight="1">
      <c r="A280" s="10">
        <v>3</v>
      </c>
      <c r="B280" s="133" t="s">
        <v>432</v>
      </c>
      <c r="C280" s="10">
        <v>55385</v>
      </c>
      <c r="D280" s="333">
        <v>1</v>
      </c>
      <c r="E280" s="230">
        <v>34.1</v>
      </c>
      <c r="F280" s="149">
        <f t="shared" si="80"/>
        <v>34.1</v>
      </c>
      <c r="G280" s="334">
        <v>45.5</v>
      </c>
      <c r="H280" s="149">
        <f t="shared" si="81"/>
        <v>115.57000000000001</v>
      </c>
      <c r="I280" s="115">
        <f t="shared" si="82"/>
        <v>3940.9370000000004</v>
      </c>
      <c r="J280" s="335">
        <v>0</v>
      </c>
      <c r="K280" s="115">
        <f t="shared" si="83"/>
        <v>0</v>
      </c>
      <c r="L280" s="336">
        <f t="shared" si="84"/>
        <v>45.5</v>
      </c>
      <c r="M280" s="149">
        <f t="shared" si="85"/>
        <v>115.57000000000001</v>
      </c>
      <c r="N280" s="115">
        <f t="shared" si="86"/>
        <v>0</v>
      </c>
      <c r="O280" s="337">
        <v>1.7</v>
      </c>
      <c r="P280" s="149">
        <f t="shared" si="87"/>
        <v>4.3179999999999996</v>
      </c>
      <c r="Q280" s="115">
        <f t="shared" si="88"/>
        <v>147.24379999999999</v>
      </c>
      <c r="R280" s="149">
        <f t="shared" si="89"/>
        <v>0</v>
      </c>
      <c r="V280" s="115"/>
    </row>
    <row r="281" spans="1:22" s="8" customFormat="1" ht="17.100000000000001" customHeight="1">
      <c r="A281" s="10">
        <v>3</v>
      </c>
      <c r="B281" s="133" t="s">
        <v>433</v>
      </c>
      <c r="C281" s="10">
        <v>52261</v>
      </c>
      <c r="D281" s="333">
        <v>1</v>
      </c>
      <c r="E281" s="230">
        <v>3.2</v>
      </c>
      <c r="F281" s="149">
        <f t="shared" si="80"/>
        <v>3.2</v>
      </c>
      <c r="G281" s="334">
        <v>44.4</v>
      </c>
      <c r="H281" s="149">
        <f t="shared" si="81"/>
        <v>112.776</v>
      </c>
      <c r="I281" s="115">
        <f t="shared" si="82"/>
        <v>360.88319999999999</v>
      </c>
      <c r="J281" s="335">
        <v>0</v>
      </c>
      <c r="K281" s="115">
        <f t="shared" si="83"/>
        <v>0</v>
      </c>
      <c r="L281" s="149">
        <f t="shared" si="84"/>
        <v>44.4</v>
      </c>
      <c r="M281" s="149">
        <f t="shared" si="85"/>
        <v>112.776</v>
      </c>
      <c r="N281" s="115">
        <f t="shared" si="86"/>
        <v>0</v>
      </c>
      <c r="O281" s="337">
        <v>1.5</v>
      </c>
      <c r="P281" s="149">
        <f t="shared" si="87"/>
        <v>3.81</v>
      </c>
      <c r="Q281" s="115">
        <f t="shared" si="88"/>
        <v>12.192</v>
      </c>
      <c r="R281" s="149">
        <f t="shared" si="89"/>
        <v>0</v>
      </c>
      <c r="V281" s="115"/>
    </row>
    <row r="282" spans="1:22" s="8" customFormat="1" ht="17.100000000000001" customHeight="1">
      <c r="A282" s="10">
        <v>3</v>
      </c>
      <c r="B282" s="133" t="s">
        <v>434</v>
      </c>
      <c r="C282" s="10" t="s">
        <v>435</v>
      </c>
      <c r="D282" s="333">
        <v>1</v>
      </c>
      <c r="E282" s="230">
        <v>19.8</v>
      </c>
      <c r="F282" s="149">
        <f t="shared" si="80"/>
        <v>19.8</v>
      </c>
      <c r="G282" s="334">
        <v>45.5</v>
      </c>
      <c r="H282" s="149">
        <f t="shared" si="81"/>
        <v>115.57000000000001</v>
      </c>
      <c r="I282" s="115">
        <f t="shared" si="82"/>
        <v>2288.2860000000001</v>
      </c>
      <c r="J282" s="335">
        <v>0</v>
      </c>
      <c r="K282" s="115">
        <f t="shared" si="83"/>
        <v>0</v>
      </c>
      <c r="L282" s="336">
        <f t="shared" si="84"/>
        <v>45.5</v>
      </c>
      <c r="M282" s="149">
        <f t="shared" si="85"/>
        <v>115.57000000000001</v>
      </c>
      <c r="N282" s="115">
        <f t="shared" si="86"/>
        <v>0</v>
      </c>
      <c r="O282" s="337">
        <v>1.9</v>
      </c>
      <c r="P282" s="149">
        <f t="shared" si="87"/>
        <v>4.8259999999999996</v>
      </c>
      <c r="Q282" s="115">
        <f t="shared" si="88"/>
        <v>95.5548</v>
      </c>
      <c r="R282" s="149">
        <f t="shared" si="89"/>
        <v>0</v>
      </c>
      <c r="V282" s="115"/>
    </row>
    <row r="283" spans="1:22" s="8" customFormat="1" ht="17.100000000000001" customHeight="1">
      <c r="A283" s="10">
        <v>3</v>
      </c>
      <c r="B283" s="133" t="s">
        <v>436</v>
      </c>
      <c r="C283" s="10">
        <v>55388</v>
      </c>
      <c r="D283" s="333">
        <v>1</v>
      </c>
      <c r="E283" s="230">
        <v>22.4</v>
      </c>
      <c r="F283" s="149">
        <f t="shared" si="80"/>
        <v>22.4</v>
      </c>
      <c r="G283" s="334">
        <v>45.5</v>
      </c>
      <c r="H283" s="149">
        <f t="shared" si="81"/>
        <v>115.57000000000001</v>
      </c>
      <c r="I283" s="115">
        <f t="shared" si="82"/>
        <v>2588.768</v>
      </c>
      <c r="J283" s="335">
        <v>0</v>
      </c>
      <c r="K283" s="115">
        <f t="shared" si="83"/>
        <v>0</v>
      </c>
      <c r="L283" s="336">
        <f t="shared" si="84"/>
        <v>45.5</v>
      </c>
      <c r="M283" s="149">
        <f t="shared" si="85"/>
        <v>115.57000000000001</v>
      </c>
      <c r="N283" s="115">
        <f t="shared" si="86"/>
        <v>0</v>
      </c>
      <c r="O283" s="337">
        <v>-1.7</v>
      </c>
      <c r="P283" s="149">
        <f t="shared" si="87"/>
        <v>-4.3179999999999996</v>
      </c>
      <c r="Q283" s="115">
        <f t="shared" si="88"/>
        <v>-96.723199999999991</v>
      </c>
      <c r="R283" s="149">
        <f t="shared" si="89"/>
        <v>0</v>
      </c>
      <c r="V283" s="115"/>
    </row>
    <row r="284" spans="1:22" s="8" customFormat="1" ht="17.100000000000001" customHeight="1">
      <c r="A284" s="10">
        <v>3</v>
      </c>
      <c r="B284" s="133" t="s">
        <v>437</v>
      </c>
      <c r="C284" s="10">
        <v>52260</v>
      </c>
      <c r="D284" s="333">
        <v>1</v>
      </c>
      <c r="E284" s="230">
        <v>5.6</v>
      </c>
      <c r="F284" s="149">
        <f t="shared" si="80"/>
        <v>5.6</v>
      </c>
      <c r="G284" s="334">
        <v>44.4</v>
      </c>
      <c r="H284" s="149">
        <f t="shared" si="81"/>
        <v>112.776</v>
      </c>
      <c r="I284" s="115">
        <f t="shared" si="82"/>
        <v>631.54559999999992</v>
      </c>
      <c r="J284" s="335">
        <v>0</v>
      </c>
      <c r="K284" s="115">
        <f t="shared" si="83"/>
        <v>0</v>
      </c>
      <c r="L284" s="149">
        <f t="shared" si="84"/>
        <v>44.4</v>
      </c>
      <c r="M284" s="149">
        <f t="shared" si="85"/>
        <v>112.776</v>
      </c>
      <c r="N284" s="115">
        <f t="shared" si="86"/>
        <v>0</v>
      </c>
      <c r="O284" s="337">
        <v>0.5</v>
      </c>
      <c r="P284" s="149">
        <f t="shared" si="87"/>
        <v>1.27</v>
      </c>
      <c r="Q284" s="115">
        <f t="shared" si="88"/>
        <v>7.1119999999999992</v>
      </c>
      <c r="R284" s="149">
        <f t="shared" si="89"/>
        <v>0</v>
      </c>
      <c r="V284" s="115"/>
    </row>
    <row r="285" spans="1:22" s="8" customFormat="1" ht="17.100000000000001" customHeight="1">
      <c r="A285" s="10">
        <v>3</v>
      </c>
      <c r="B285" s="133" t="s">
        <v>438</v>
      </c>
      <c r="C285" s="10" t="s">
        <v>439</v>
      </c>
      <c r="D285" s="333">
        <v>1</v>
      </c>
      <c r="E285" s="230">
        <v>15.9</v>
      </c>
      <c r="F285" s="149">
        <f t="shared" si="80"/>
        <v>15.9</v>
      </c>
      <c r="G285" s="334">
        <v>45.5</v>
      </c>
      <c r="H285" s="149">
        <f t="shared" si="81"/>
        <v>115.57000000000001</v>
      </c>
      <c r="I285" s="115">
        <f t="shared" si="82"/>
        <v>1837.5630000000001</v>
      </c>
      <c r="J285" s="335">
        <v>0</v>
      </c>
      <c r="K285" s="115">
        <f t="shared" si="83"/>
        <v>0</v>
      </c>
      <c r="L285" s="336">
        <f t="shared" si="84"/>
        <v>45.5</v>
      </c>
      <c r="M285" s="149">
        <f t="shared" si="85"/>
        <v>115.57000000000001</v>
      </c>
      <c r="N285" s="115">
        <f t="shared" si="86"/>
        <v>0</v>
      </c>
      <c r="O285" s="337">
        <v>-1.9</v>
      </c>
      <c r="P285" s="149">
        <f t="shared" si="87"/>
        <v>-4.8259999999999996</v>
      </c>
      <c r="Q285" s="115">
        <f t="shared" si="88"/>
        <v>-76.733399999999989</v>
      </c>
      <c r="R285" s="149">
        <f t="shared" si="89"/>
        <v>0</v>
      </c>
      <c r="V285" s="115"/>
    </row>
    <row r="286" spans="1:22" s="8" customFormat="1" ht="16.5" customHeight="1">
      <c r="A286" s="10">
        <v>3</v>
      </c>
      <c r="B286" s="133" t="s">
        <v>567</v>
      </c>
      <c r="C286" s="10">
        <v>55524</v>
      </c>
      <c r="D286" s="333">
        <v>1</v>
      </c>
      <c r="E286" s="230">
        <v>23.4</v>
      </c>
      <c r="F286" s="149">
        <f t="shared" si="80"/>
        <v>23.4</v>
      </c>
      <c r="G286" s="334">
        <v>45.5</v>
      </c>
      <c r="H286" s="149">
        <f t="shared" si="81"/>
        <v>115.57000000000001</v>
      </c>
      <c r="I286" s="115">
        <f t="shared" si="82"/>
        <v>2704.3380000000002</v>
      </c>
      <c r="J286" s="335">
        <v>0</v>
      </c>
      <c r="K286" s="115">
        <f t="shared" si="83"/>
        <v>0</v>
      </c>
      <c r="L286" s="149">
        <f t="shared" si="84"/>
        <v>45.5</v>
      </c>
      <c r="M286" s="149">
        <f t="shared" si="85"/>
        <v>115.57000000000001</v>
      </c>
      <c r="N286" s="115">
        <f t="shared" si="86"/>
        <v>0</v>
      </c>
      <c r="O286" s="337">
        <v>-3.4</v>
      </c>
      <c r="P286" s="149">
        <f t="shared" si="87"/>
        <v>-8.6359999999999992</v>
      </c>
      <c r="Q286" s="115">
        <f t="shared" si="88"/>
        <v>-202.08239999999998</v>
      </c>
      <c r="R286" s="149">
        <f t="shared" si="89"/>
        <v>0</v>
      </c>
      <c r="V286" s="115"/>
    </row>
    <row r="287" spans="1:22" s="8" customFormat="1" ht="17.100000000000001" customHeight="1">
      <c r="A287" s="10">
        <v>3</v>
      </c>
      <c r="B287" s="133" t="s">
        <v>568</v>
      </c>
      <c r="C287" s="10">
        <v>52265</v>
      </c>
      <c r="D287" s="333">
        <v>1</v>
      </c>
      <c r="E287" s="230">
        <v>6</v>
      </c>
      <c r="F287" s="149">
        <f t="shared" si="80"/>
        <v>6</v>
      </c>
      <c r="G287" s="334">
        <v>44.4</v>
      </c>
      <c r="H287" s="149">
        <f t="shared" si="81"/>
        <v>112.776</v>
      </c>
      <c r="I287" s="115">
        <f t="shared" si="82"/>
        <v>676.65599999999995</v>
      </c>
      <c r="J287" s="335">
        <v>0</v>
      </c>
      <c r="K287" s="115">
        <f t="shared" si="83"/>
        <v>0</v>
      </c>
      <c r="L287" s="149">
        <f t="shared" si="84"/>
        <v>44.4</v>
      </c>
      <c r="M287" s="149">
        <f t="shared" si="85"/>
        <v>112.776</v>
      </c>
      <c r="N287" s="115">
        <f t="shared" si="86"/>
        <v>0</v>
      </c>
      <c r="O287" s="337">
        <v>0</v>
      </c>
      <c r="P287" s="149">
        <f t="shared" si="87"/>
        <v>0</v>
      </c>
      <c r="Q287" s="115">
        <f t="shared" si="88"/>
        <v>0</v>
      </c>
      <c r="R287" s="149">
        <f t="shared" si="89"/>
        <v>0</v>
      </c>
      <c r="V287" s="115"/>
    </row>
    <row r="288" spans="1:22" s="8" customFormat="1" ht="17.100000000000001" customHeight="1">
      <c r="A288" s="10">
        <v>3</v>
      </c>
      <c r="B288" s="133" t="s">
        <v>569</v>
      </c>
      <c r="C288" s="397" t="s">
        <v>570</v>
      </c>
      <c r="D288" s="333">
        <v>1</v>
      </c>
      <c r="E288" s="230">
        <v>30</v>
      </c>
      <c r="F288" s="149">
        <f t="shared" si="80"/>
        <v>30</v>
      </c>
      <c r="G288" s="385">
        <v>38.625</v>
      </c>
      <c r="H288" s="149">
        <f t="shared" si="81"/>
        <v>98.107500000000002</v>
      </c>
      <c r="I288" s="115">
        <f t="shared" si="82"/>
        <v>2943.2249999999999</v>
      </c>
      <c r="J288" s="335">
        <v>0</v>
      </c>
      <c r="K288" s="115">
        <f t="shared" si="83"/>
        <v>0</v>
      </c>
      <c r="L288" s="336">
        <f t="shared" si="84"/>
        <v>38.625</v>
      </c>
      <c r="M288" s="149">
        <f t="shared" si="85"/>
        <v>98.107500000000002</v>
      </c>
      <c r="N288" s="115">
        <f t="shared" si="86"/>
        <v>0</v>
      </c>
      <c r="O288" s="337">
        <v>3.5</v>
      </c>
      <c r="P288" s="149">
        <f t="shared" si="87"/>
        <v>8.89</v>
      </c>
      <c r="Q288" s="115">
        <f t="shared" si="88"/>
        <v>266.70000000000005</v>
      </c>
      <c r="R288" s="149">
        <f t="shared" si="89"/>
        <v>0</v>
      </c>
      <c r="V288" s="115"/>
    </row>
    <row r="289" spans="1:30" s="8" customFormat="1" ht="17.100000000000001" customHeight="1">
      <c r="A289" s="10">
        <v>3</v>
      </c>
      <c r="B289" s="133" t="s">
        <v>571</v>
      </c>
      <c r="C289" s="397" t="s">
        <v>572</v>
      </c>
      <c r="D289" s="333">
        <v>1</v>
      </c>
      <c r="E289" s="230">
        <v>37.799999999999997</v>
      </c>
      <c r="F289" s="149">
        <f t="shared" si="80"/>
        <v>37.799999999999997</v>
      </c>
      <c r="G289" s="385">
        <v>38.625</v>
      </c>
      <c r="H289" s="149">
        <f t="shared" si="81"/>
        <v>98.107500000000002</v>
      </c>
      <c r="I289" s="115">
        <f t="shared" si="82"/>
        <v>3708.4634999999998</v>
      </c>
      <c r="J289" s="335">
        <v>0</v>
      </c>
      <c r="K289" s="115">
        <f t="shared" si="83"/>
        <v>0</v>
      </c>
      <c r="L289" s="336">
        <f t="shared" si="84"/>
        <v>38.625</v>
      </c>
      <c r="M289" s="149">
        <f t="shared" si="85"/>
        <v>98.107500000000002</v>
      </c>
      <c r="N289" s="115">
        <f t="shared" si="86"/>
        <v>0</v>
      </c>
      <c r="O289" s="337">
        <v>3.5</v>
      </c>
      <c r="P289" s="149">
        <f t="shared" si="87"/>
        <v>8.89</v>
      </c>
      <c r="Q289" s="115">
        <f t="shared" si="88"/>
        <v>336.04199999999997</v>
      </c>
      <c r="R289" s="149">
        <f t="shared" si="89"/>
        <v>0</v>
      </c>
      <c r="V289" s="115"/>
    </row>
    <row r="290" spans="1:30" s="8" customFormat="1" ht="17.100000000000001" customHeight="1">
      <c r="A290" s="10">
        <v>3</v>
      </c>
      <c r="B290" s="133" t="s">
        <v>573</v>
      </c>
      <c r="C290" s="397" t="s">
        <v>570</v>
      </c>
      <c r="D290" s="333">
        <v>1</v>
      </c>
      <c r="E290" s="230">
        <v>0</v>
      </c>
      <c r="F290" s="149">
        <f t="shared" si="80"/>
        <v>0</v>
      </c>
      <c r="G290" s="385">
        <v>38.625</v>
      </c>
      <c r="H290" s="149">
        <f t="shared" si="81"/>
        <v>98.107500000000002</v>
      </c>
      <c r="I290" s="115">
        <f t="shared" si="82"/>
        <v>0</v>
      </c>
      <c r="J290" s="335">
        <v>0</v>
      </c>
      <c r="K290" s="115">
        <f t="shared" si="83"/>
        <v>0</v>
      </c>
      <c r="L290" s="336">
        <f t="shared" si="84"/>
        <v>38.625</v>
      </c>
      <c r="M290" s="149">
        <f t="shared" si="85"/>
        <v>98.107500000000002</v>
      </c>
      <c r="N290" s="115">
        <f t="shared" si="86"/>
        <v>0</v>
      </c>
      <c r="O290" s="337">
        <v>3.5</v>
      </c>
      <c r="P290" s="149">
        <f t="shared" si="87"/>
        <v>8.89</v>
      </c>
      <c r="Q290" s="115">
        <f t="shared" si="88"/>
        <v>0</v>
      </c>
      <c r="R290" s="149">
        <f t="shared" si="89"/>
        <v>0</v>
      </c>
      <c r="V290" s="115"/>
    </row>
    <row r="291" spans="1:30" s="218" customFormat="1" ht="33" customHeight="1">
      <c r="A291" s="10">
        <v>3</v>
      </c>
      <c r="B291" s="289" t="s">
        <v>574</v>
      </c>
      <c r="C291" s="10">
        <v>52368</v>
      </c>
      <c r="D291" s="333">
        <v>1</v>
      </c>
      <c r="E291" s="230">
        <v>289.2</v>
      </c>
      <c r="F291" s="149">
        <f t="shared" si="80"/>
        <v>289.2</v>
      </c>
      <c r="G291" s="334">
        <v>47.863999999999997</v>
      </c>
      <c r="H291" s="149">
        <f t="shared" si="81"/>
        <v>121.57455999999999</v>
      </c>
      <c r="I291" s="115">
        <f t="shared" si="82"/>
        <v>35159.362751999994</v>
      </c>
      <c r="J291" s="232">
        <v>184.02699999999999</v>
      </c>
      <c r="K291" s="115">
        <f t="shared" si="83"/>
        <v>184.02699999999999</v>
      </c>
      <c r="L291" s="336">
        <f t="shared" si="84"/>
        <v>47.863999999999997</v>
      </c>
      <c r="M291" s="149">
        <f t="shared" si="85"/>
        <v>121.57455999999999</v>
      </c>
      <c r="N291" s="115">
        <f t="shared" si="86"/>
        <v>22373.001553119997</v>
      </c>
      <c r="O291" s="337">
        <v>7.0579999999999998</v>
      </c>
      <c r="P291" s="149">
        <f t="shared" si="87"/>
        <v>17.927319999999998</v>
      </c>
      <c r="Q291" s="115">
        <f t="shared" si="88"/>
        <v>5184.5809439999994</v>
      </c>
      <c r="R291" s="149">
        <f t="shared" si="89"/>
        <v>3299.1109176399996</v>
      </c>
      <c r="S291" s="8"/>
      <c r="T291" s="8"/>
      <c r="U291" s="8"/>
      <c r="V291" s="219"/>
      <c r="W291" s="8"/>
      <c r="X291" s="8"/>
      <c r="Z291" s="8"/>
      <c r="AA291" s="8"/>
    </row>
    <row r="292" spans="1:30" s="8" customFormat="1" ht="17.100000000000001" customHeight="1">
      <c r="A292" s="10">
        <v>3</v>
      </c>
      <c r="B292" s="133" t="s">
        <v>714</v>
      </c>
      <c r="C292" s="397" t="s">
        <v>171</v>
      </c>
      <c r="D292" s="333">
        <v>1</v>
      </c>
      <c r="E292" s="230">
        <v>75.3</v>
      </c>
      <c r="F292" s="149">
        <f t="shared" si="80"/>
        <v>75.3</v>
      </c>
      <c r="G292" s="334">
        <v>43.9</v>
      </c>
      <c r="H292" s="149">
        <f t="shared" si="81"/>
        <v>111.506</v>
      </c>
      <c r="I292" s="115">
        <f t="shared" si="82"/>
        <v>8396.4017999999996</v>
      </c>
      <c r="J292" s="335">
        <v>0</v>
      </c>
      <c r="K292" s="115">
        <f t="shared" si="83"/>
        <v>0</v>
      </c>
      <c r="L292" s="336">
        <f t="shared" si="84"/>
        <v>43.9</v>
      </c>
      <c r="M292" s="149">
        <f t="shared" si="85"/>
        <v>111.506</v>
      </c>
      <c r="N292" s="115">
        <f t="shared" si="86"/>
        <v>0</v>
      </c>
      <c r="O292" s="337">
        <v>0</v>
      </c>
      <c r="P292" s="149">
        <f t="shared" si="87"/>
        <v>0</v>
      </c>
      <c r="Q292" s="115">
        <f t="shared" si="88"/>
        <v>0</v>
      </c>
      <c r="R292" s="149">
        <f t="shared" si="89"/>
        <v>0</v>
      </c>
      <c r="V292" s="115"/>
    </row>
    <row r="293" spans="1:30" s="8" customFormat="1" ht="17.100000000000001" customHeight="1">
      <c r="A293" s="10"/>
      <c r="B293" s="133"/>
      <c r="C293" s="10"/>
      <c r="D293" s="333"/>
      <c r="E293" s="385"/>
      <c r="F293" s="149"/>
      <c r="G293" s="334"/>
      <c r="H293" s="149"/>
      <c r="I293" s="115"/>
      <c r="J293" s="253"/>
      <c r="K293" s="149"/>
      <c r="L293" s="336"/>
      <c r="M293" s="149"/>
      <c r="N293" s="115"/>
      <c r="O293" s="337"/>
      <c r="P293" s="149"/>
      <c r="Q293" s="115"/>
      <c r="R293" s="149"/>
      <c r="V293" s="115"/>
    </row>
    <row r="294" spans="1:30" s="8" customFormat="1" ht="17.100000000000001" customHeight="1">
      <c r="A294" s="378"/>
      <c r="B294" s="410"/>
      <c r="C294" s="378"/>
      <c r="D294" s="411"/>
      <c r="E294" s="412"/>
      <c r="F294" s="413"/>
      <c r="G294" s="414"/>
      <c r="H294" s="413"/>
      <c r="I294" s="415"/>
      <c r="J294" s="416"/>
      <c r="K294" s="415"/>
      <c r="L294" s="417"/>
      <c r="M294" s="413"/>
      <c r="N294" s="415"/>
      <c r="O294" s="418"/>
      <c r="P294" s="413"/>
      <c r="Q294" s="415"/>
      <c r="R294" s="413"/>
      <c r="V294" s="115"/>
    </row>
    <row r="295" spans="1:30" s="8" customFormat="1" ht="17.100000000000001" customHeight="1">
      <c r="A295" s="117"/>
      <c r="B295" s="155"/>
      <c r="C295" s="117"/>
      <c r="D295" s="198"/>
      <c r="F295" s="120" t="s">
        <v>282</v>
      </c>
      <c r="G295" s="120"/>
      <c r="I295" s="120" t="s">
        <v>283</v>
      </c>
      <c r="J295" s="199"/>
      <c r="N295" s="120" t="s">
        <v>283</v>
      </c>
      <c r="O295" s="200"/>
      <c r="Q295" s="120" t="s">
        <v>283</v>
      </c>
      <c r="R295" s="120" t="s">
        <v>283</v>
      </c>
      <c r="V295" s="115"/>
    </row>
    <row r="296" spans="1:30" s="8" customFormat="1" ht="17.100000000000001" customHeight="1">
      <c r="A296" s="117"/>
      <c r="B296" s="155"/>
      <c r="C296" s="117"/>
      <c r="D296" s="201" t="s">
        <v>286</v>
      </c>
      <c r="E296" s="202" t="s">
        <v>386</v>
      </c>
      <c r="F296" s="203" t="s">
        <v>386</v>
      </c>
      <c r="G296" s="204" t="s">
        <v>387</v>
      </c>
      <c r="H296" s="120" t="s">
        <v>387</v>
      </c>
      <c r="I296" s="120" t="s">
        <v>387</v>
      </c>
      <c r="J296" s="205" t="s">
        <v>388</v>
      </c>
      <c r="K296" s="120" t="s">
        <v>389</v>
      </c>
      <c r="L296" s="204" t="s">
        <v>390</v>
      </c>
      <c r="M296" s="120" t="s">
        <v>390</v>
      </c>
      <c r="N296" s="120" t="s">
        <v>390</v>
      </c>
      <c r="O296" s="206" t="s">
        <v>392</v>
      </c>
      <c r="P296" s="120" t="s">
        <v>393</v>
      </c>
      <c r="Q296" s="120" t="s">
        <v>392</v>
      </c>
      <c r="R296" s="120" t="s">
        <v>393</v>
      </c>
      <c r="V296" s="115"/>
    </row>
    <row r="297" spans="1:30" s="8" customFormat="1" ht="17.100000000000001" customHeight="1">
      <c r="A297" s="117"/>
      <c r="B297" s="155"/>
      <c r="C297" s="117"/>
      <c r="D297" s="209"/>
      <c r="E297" s="210" t="s">
        <v>397</v>
      </c>
      <c r="F297" s="208" t="s">
        <v>397</v>
      </c>
      <c r="G297" s="211" t="s">
        <v>398</v>
      </c>
      <c r="H297" s="208" t="s">
        <v>105</v>
      </c>
      <c r="I297" s="208" t="s">
        <v>399</v>
      </c>
      <c r="J297" s="212" t="s">
        <v>247</v>
      </c>
      <c r="K297" s="208" t="s">
        <v>247</v>
      </c>
      <c r="L297" s="211" t="s">
        <v>398</v>
      </c>
      <c r="M297" s="208" t="s">
        <v>105</v>
      </c>
      <c r="N297" s="208" t="s">
        <v>400</v>
      </c>
      <c r="O297" s="213" t="s">
        <v>105</v>
      </c>
      <c r="P297" s="208" t="s">
        <v>105</v>
      </c>
      <c r="Q297" s="208" t="s">
        <v>399</v>
      </c>
      <c r="R297" s="208" t="s">
        <v>400</v>
      </c>
      <c r="V297" s="115"/>
    </row>
    <row r="298" spans="1:30" s="8" customFormat="1" ht="16.5" customHeight="1">
      <c r="A298" s="120">
        <v>2</v>
      </c>
      <c r="B298" s="247" t="s">
        <v>715</v>
      </c>
      <c r="C298" s="203">
        <v>49889</v>
      </c>
      <c r="D298" s="206"/>
      <c r="E298" s="364"/>
      <c r="F298" s="132"/>
      <c r="G298" s="132"/>
      <c r="H298" s="141"/>
      <c r="I298" s="419"/>
      <c r="J298" s="326"/>
      <c r="K298" s="228"/>
      <c r="L298" s="326"/>
      <c r="M298" s="326"/>
      <c r="N298" s="420"/>
      <c r="O298" s="217"/>
      <c r="S298" s="115"/>
    </row>
    <row r="299" spans="1:30" s="126" customFormat="1" ht="16.5" customHeight="1">
      <c r="A299" s="124"/>
      <c r="B299" s="363" t="s">
        <v>403</v>
      </c>
      <c r="C299" s="364">
        <v>14110</v>
      </c>
      <c r="D299" s="220" t="s">
        <v>238</v>
      </c>
      <c r="E299" s="421">
        <f>C299</f>
        <v>14110</v>
      </c>
      <c r="F299" s="421">
        <f>E299-(F301+F302)</f>
        <v>2542.6000000000004</v>
      </c>
      <c r="H299" s="421">
        <v>70.656000000000006</v>
      </c>
      <c r="I299" s="422">
        <f>F299*H299</f>
        <v>179649.94560000004</v>
      </c>
      <c r="K299" s="423">
        <v>2669.8</v>
      </c>
      <c r="M299" s="421">
        <v>70.2</v>
      </c>
      <c r="N299" s="422">
        <f>K299*M299</f>
        <v>187419.96000000002</v>
      </c>
      <c r="O299" s="421">
        <v>-0.56999999999999995</v>
      </c>
      <c r="P299" s="421">
        <v>0</v>
      </c>
      <c r="Q299" s="421">
        <f>F299*O299</f>
        <v>-1449.2820000000002</v>
      </c>
      <c r="R299" s="421">
        <f>K299*P299</f>
        <v>0</v>
      </c>
      <c r="S299"/>
      <c r="T299"/>
      <c r="U299"/>
      <c r="V299"/>
      <c r="W299"/>
      <c r="X299"/>
      <c r="Y299"/>
      <c r="Z299"/>
      <c r="AA299"/>
      <c r="AB299"/>
      <c r="AC299"/>
      <c r="AD299"/>
    </row>
    <row r="300" spans="1:30" s="126" customFormat="1" ht="16.5" customHeight="1">
      <c r="A300" s="124"/>
      <c r="B300" s="424" t="s">
        <v>716</v>
      </c>
      <c r="C300" s="343"/>
      <c r="D300" s="386"/>
      <c r="E300" s="425"/>
      <c r="F300" s="423"/>
      <c r="H300" s="423"/>
      <c r="I300" s="426"/>
      <c r="K300" s="427"/>
      <c r="M300" s="428"/>
      <c r="N300" s="426"/>
      <c r="O300" s="428"/>
      <c r="P300" s="428"/>
      <c r="Q300" s="428"/>
      <c r="R300" s="429"/>
      <c r="S300" s="151"/>
    </row>
    <row r="301" spans="1:30" s="126" customFormat="1" ht="16.5" customHeight="1">
      <c r="A301" s="124"/>
      <c r="B301" s="153" t="s">
        <v>717</v>
      </c>
      <c r="C301" s="124">
        <v>56759</v>
      </c>
      <c r="D301" s="224">
        <v>1</v>
      </c>
      <c r="E301" s="430">
        <v>1830.4</v>
      </c>
      <c r="F301" s="421">
        <f>E301</f>
        <v>1830.4</v>
      </c>
      <c r="H301" s="421">
        <f>82.634+C27*Cal!D15</f>
        <v>91.19573798987031</v>
      </c>
      <c r="I301" s="422">
        <f>F301*H301</f>
        <v>166924.67881665862</v>
      </c>
      <c r="K301" s="421">
        <v>0</v>
      </c>
      <c r="M301" s="421">
        <f>H301</f>
        <v>91.19573798987031</v>
      </c>
      <c r="N301" s="422">
        <f>K301*M301</f>
        <v>0</v>
      </c>
      <c r="O301" s="421">
        <v>-6.7510000000000003</v>
      </c>
      <c r="P301" s="421">
        <v>0</v>
      </c>
      <c r="Q301" s="421">
        <f>F301*O301</f>
        <v>-12357.030400000001</v>
      </c>
      <c r="R301" s="421">
        <f>K301*P301</f>
        <v>0</v>
      </c>
      <c r="S301" s="151"/>
    </row>
    <row r="302" spans="1:30" s="126" customFormat="1" ht="16.5" customHeight="1">
      <c r="A302" s="124"/>
      <c r="B302" s="153" t="s">
        <v>718</v>
      </c>
      <c r="C302" s="124">
        <v>52238</v>
      </c>
      <c r="D302" s="224">
        <v>1</v>
      </c>
      <c r="E302" s="430">
        <v>9737</v>
      </c>
      <c r="F302" s="421">
        <f>E302</f>
        <v>9737</v>
      </c>
      <c r="H302" s="421">
        <f>83.413+C27*Cal!D15</f>
        <v>91.974737989870306</v>
      </c>
      <c r="I302" s="422">
        <f>F302*H302</f>
        <v>895558.02380736719</v>
      </c>
      <c r="K302" s="421">
        <v>0</v>
      </c>
      <c r="M302" s="421">
        <f>H302</f>
        <v>91.974737989870306</v>
      </c>
      <c r="N302" s="422">
        <f>K302*M302</f>
        <v>0</v>
      </c>
      <c r="O302" s="421">
        <v>-0.02</v>
      </c>
      <c r="P302" s="421">
        <f>O302</f>
        <v>-0.02</v>
      </c>
      <c r="Q302" s="421">
        <f>F302*O302</f>
        <v>-194.74</v>
      </c>
      <c r="R302" s="421">
        <f>K302*P302</f>
        <v>0</v>
      </c>
      <c r="S302" s="151"/>
    </row>
    <row r="303" spans="1:30" s="126" customFormat="1" ht="15.75" customHeight="1">
      <c r="A303" s="124"/>
      <c r="C303" s="293"/>
      <c r="D303" s="224"/>
      <c r="E303" s="430"/>
      <c r="F303" s="421"/>
      <c r="G303" s="421"/>
      <c r="H303" s="421"/>
      <c r="I303" s="422"/>
      <c r="J303" s="421"/>
      <c r="K303" s="421"/>
      <c r="L303" s="421"/>
      <c r="M303" s="421"/>
      <c r="N303" s="422"/>
      <c r="O303" s="421"/>
      <c r="S303" s="151"/>
    </row>
    <row r="304" spans="1:30" s="126" customFormat="1" ht="15.75" customHeight="1">
      <c r="A304" s="124"/>
      <c r="C304" s="124"/>
      <c r="D304" s="224"/>
      <c r="E304" s="430"/>
      <c r="F304" s="421"/>
      <c r="G304" s="421"/>
      <c r="H304" s="421"/>
      <c r="I304" s="422"/>
      <c r="J304" s="421"/>
      <c r="K304" s="421"/>
      <c r="L304" s="421"/>
      <c r="M304" s="421"/>
      <c r="N304" s="422"/>
      <c r="O304" s="421"/>
      <c r="S304" s="151"/>
    </row>
    <row r="305" spans="1:27" s="126" customFormat="1" ht="15.75" customHeight="1">
      <c r="A305" s="124"/>
      <c r="C305" s="124"/>
      <c r="D305" s="224"/>
      <c r="E305" s="430"/>
      <c r="F305" s="421"/>
      <c r="G305" s="421"/>
      <c r="H305" s="421"/>
      <c r="I305" s="422"/>
      <c r="J305" s="421"/>
      <c r="K305" s="421"/>
      <c r="L305" s="421"/>
      <c r="M305" s="421"/>
      <c r="N305" s="422"/>
      <c r="O305" s="421"/>
      <c r="S305" s="151"/>
    </row>
    <row r="306" spans="1:27" s="8" customFormat="1" ht="16.5" customHeight="1">
      <c r="A306" s="378"/>
      <c r="B306" s="383"/>
      <c r="C306" s="431"/>
      <c r="D306" s="411"/>
      <c r="E306" s="412"/>
      <c r="F306" s="413"/>
      <c r="G306" s="413"/>
      <c r="H306" s="415"/>
      <c r="I306" s="432"/>
      <c r="J306" s="413"/>
      <c r="K306" s="415"/>
      <c r="L306" s="413"/>
      <c r="M306" s="413"/>
      <c r="N306" s="432"/>
      <c r="O306" s="413"/>
      <c r="P306" s="383"/>
      <c r="Q306" s="383"/>
      <c r="R306" s="383"/>
      <c r="S306" s="115"/>
    </row>
    <row r="307" spans="1:27" s="116" customFormat="1" ht="17.100000000000001" customHeight="1">
      <c r="A307" s="203">
        <v>2</v>
      </c>
      <c r="B307" s="247" t="s">
        <v>719</v>
      </c>
      <c r="C307" s="433" t="s">
        <v>720</v>
      </c>
      <c r="D307" s="434"/>
      <c r="E307" s="297"/>
      <c r="F307" s="132"/>
      <c r="G307" s="435"/>
      <c r="H307" s="132"/>
      <c r="I307" s="141"/>
      <c r="J307" s="352"/>
      <c r="K307" s="141"/>
      <c r="L307" s="436"/>
      <c r="M307" s="132"/>
      <c r="N307" s="141"/>
      <c r="O307" s="337"/>
      <c r="P307" s="132"/>
      <c r="Q307" s="141"/>
      <c r="R307" s="132"/>
      <c r="V307" s="141"/>
    </row>
    <row r="308" spans="1:27" s="8" customFormat="1" ht="17.100000000000001" customHeight="1">
      <c r="A308" s="10"/>
      <c r="B308" s="234" t="s">
        <v>300</v>
      </c>
      <c r="C308" s="326">
        <f>SUM(E311:E323)</f>
        <v>4008.2999999999997</v>
      </c>
      <c r="D308" s="220" t="s">
        <v>238</v>
      </c>
      <c r="E308" s="354" t="s">
        <v>245</v>
      </c>
      <c r="F308" s="10"/>
      <c r="G308" s="435"/>
      <c r="H308" s="132"/>
      <c r="I308" s="437"/>
      <c r="J308" s="352"/>
      <c r="K308" s="228"/>
      <c r="L308" s="436"/>
      <c r="M308" s="132"/>
      <c r="N308" s="141"/>
      <c r="O308" s="337"/>
      <c r="P308" s="132"/>
      <c r="Q308" s="141"/>
      <c r="R308" s="149"/>
      <c r="V308" s="115"/>
    </row>
    <row r="309" spans="1:27" s="8" customFormat="1" ht="17.100000000000001" customHeight="1">
      <c r="A309" s="10"/>
      <c r="B309" s="234" t="s">
        <v>403</v>
      </c>
      <c r="C309" s="338">
        <v>4001</v>
      </c>
      <c r="D309" s="220" t="s">
        <v>238</v>
      </c>
      <c r="E309" s="365">
        <f>C309-C308</f>
        <v>-7.2999999999997272</v>
      </c>
      <c r="F309" s="10"/>
      <c r="G309" s="435"/>
      <c r="H309" s="132"/>
      <c r="I309" s="437"/>
      <c r="J309" s="352"/>
      <c r="K309" s="228"/>
      <c r="L309" s="436"/>
      <c r="M309" s="132"/>
      <c r="N309" s="141"/>
      <c r="O309" s="337"/>
      <c r="P309" s="132"/>
      <c r="Q309" s="141"/>
      <c r="R309" s="149"/>
      <c r="V309" s="115"/>
    </row>
    <row r="310" spans="1:27" s="8" customFormat="1" ht="17.100000000000001" customHeight="1">
      <c r="A310" s="10"/>
      <c r="B310" s="234"/>
      <c r="C310" s="338"/>
      <c r="D310" s="220"/>
      <c r="E310" s="365"/>
      <c r="F310" s="10"/>
      <c r="G310" s="435"/>
      <c r="H310" s="132"/>
      <c r="I310" s="437"/>
      <c r="J310" s="352"/>
      <c r="K310" s="228"/>
      <c r="L310" s="436"/>
      <c r="M310" s="132"/>
      <c r="N310" s="141"/>
      <c r="O310" s="337"/>
      <c r="P310" s="132"/>
      <c r="Q310" s="141"/>
      <c r="R310" s="149"/>
      <c r="V310" s="115"/>
    </row>
    <row r="311" spans="1:27" s="8" customFormat="1" ht="17.100000000000001" customHeight="1">
      <c r="A311" s="10">
        <v>3</v>
      </c>
      <c r="B311" s="290" t="s">
        <v>721</v>
      </c>
      <c r="C311" s="10">
        <v>49846</v>
      </c>
      <c r="D311" s="333">
        <v>1</v>
      </c>
      <c r="E311" s="230">
        <v>61.2</v>
      </c>
      <c r="F311" s="149">
        <f t="shared" ref="F311:F323" si="90">E311*D311</f>
        <v>61.2</v>
      </c>
      <c r="G311" s="334">
        <v>23.507000000000001</v>
      </c>
      <c r="H311" s="149">
        <f t="shared" ref="H311:H323" si="91">G311*2.54</f>
        <v>59.707780000000007</v>
      </c>
      <c r="I311" s="115">
        <f t="shared" ref="I311:I323" si="92">F311*H311</f>
        <v>3654.1161360000006</v>
      </c>
      <c r="J311" s="335">
        <v>0</v>
      </c>
      <c r="K311" s="115">
        <f t="shared" ref="K311:K323" si="93">J311*D311</f>
        <v>0</v>
      </c>
      <c r="L311" s="336">
        <f t="shared" ref="L311:L323" si="94">G311</f>
        <v>23.507000000000001</v>
      </c>
      <c r="M311" s="149">
        <f t="shared" ref="M311:M323" si="95">L311*2.54</f>
        <v>59.707780000000007</v>
      </c>
      <c r="N311" s="115">
        <f t="shared" ref="N311:N323" si="96">K311*M311</f>
        <v>0</v>
      </c>
      <c r="O311" s="337">
        <v>0</v>
      </c>
      <c r="P311" s="149">
        <f t="shared" ref="P311:P323" si="97">O311*2.54</f>
        <v>0</v>
      </c>
      <c r="Q311" s="115">
        <f t="shared" ref="Q311:Q323" si="98">F311*P311</f>
        <v>0</v>
      </c>
      <c r="R311" s="149">
        <f t="shared" ref="R311:R323" si="99">K311*P311</f>
        <v>0</v>
      </c>
      <c r="V311" s="115"/>
    </row>
    <row r="312" spans="1:27" s="8" customFormat="1" ht="17.100000000000001" customHeight="1">
      <c r="A312" s="10">
        <v>3</v>
      </c>
      <c r="B312" s="290" t="s">
        <v>722</v>
      </c>
      <c r="C312" s="10">
        <v>52379</v>
      </c>
      <c r="D312" s="333">
        <v>1</v>
      </c>
      <c r="E312" s="230">
        <v>61.3</v>
      </c>
      <c r="F312" s="149">
        <f t="shared" si="90"/>
        <v>61.3</v>
      </c>
      <c r="G312" s="334">
        <v>23.507000000000001</v>
      </c>
      <c r="H312" s="149">
        <f t="shared" si="91"/>
        <v>59.707780000000007</v>
      </c>
      <c r="I312" s="115">
        <f t="shared" si="92"/>
        <v>3660.0869140000004</v>
      </c>
      <c r="J312" s="335">
        <v>0</v>
      </c>
      <c r="K312" s="115">
        <f t="shared" si="93"/>
        <v>0</v>
      </c>
      <c r="L312" s="336">
        <f t="shared" si="94"/>
        <v>23.507000000000001</v>
      </c>
      <c r="M312" s="149">
        <f t="shared" si="95"/>
        <v>59.707780000000007</v>
      </c>
      <c r="N312" s="115">
        <f t="shared" si="96"/>
        <v>0</v>
      </c>
      <c r="O312" s="337">
        <v>0</v>
      </c>
      <c r="P312" s="149">
        <f t="shared" si="97"/>
        <v>0</v>
      </c>
      <c r="Q312" s="115">
        <f t="shared" si="98"/>
        <v>0</v>
      </c>
      <c r="R312" s="149">
        <f t="shared" si="99"/>
        <v>0</v>
      </c>
      <c r="V312" s="115"/>
    </row>
    <row r="313" spans="1:27" s="126" customFormat="1" ht="33.75" customHeight="1">
      <c r="A313" s="124">
        <v>3</v>
      </c>
      <c r="B313" s="289" t="s">
        <v>723</v>
      </c>
      <c r="C313" s="438" t="s">
        <v>724</v>
      </c>
      <c r="D313" s="224">
        <v>1</v>
      </c>
      <c r="E313" s="230">
        <v>260.60000000000002</v>
      </c>
      <c r="F313" s="231">
        <f t="shared" si="90"/>
        <v>260.60000000000002</v>
      </c>
      <c r="G313" s="252">
        <v>21.5</v>
      </c>
      <c r="H313" s="231">
        <f t="shared" si="91"/>
        <v>54.61</v>
      </c>
      <c r="I313" s="151">
        <f t="shared" si="92"/>
        <v>14231.366000000002</v>
      </c>
      <c r="J313" s="335">
        <v>0</v>
      </c>
      <c r="K313" s="151">
        <f t="shared" si="93"/>
        <v>0</v>
      </c>
      <c r="L313" s="254">
        <f t="shared" si="94"/>
        <v>21.5</v>
      </c>
      <c r="M313" s="231">
        <f t="shared" si="95"/>
        <v>54.61</v>
      </c>
      <c r="N313" s="115">
        <f t="shared" si="96"/>
        <v>0</v>
      </c>
      <c r="O313" s="233">
        <v>0.7</v>
      </c>
      <c r="P313" s="231">
        <f t="shared" si="97"/>
        <v>1.7779999999999998</v>
      </c>
      <c r="Q313" s="151">
        <f t="shared" si="98"/>
        <v>463.34679999999997</v>
      </c>
      <c r="R313" s="231">
        <f t="shared" si="99"/>
        <v>0</v>
      </c>
      <c r="V313" s="151"/>
    </row>
    <row r="314" spans="1:27" s="8" customFormat="1" ht="17.100000000000001" customHeight="1">
      <c r="A314" s="10">
        <v>3</v>
      </c>
      <c r="B314" s="133" t="s">
        <v>725</v>
      </c>
      <c r="C314" s="397" t="s">
        <v>588</v>
      </c>
      <c r="D314" s="333">
        <v>1</v>
      </c>
      <c r="E314" s="230">
        <v>4.9000000000000004</v>
      </c>
      <c r="F314" s="149">
        <f t="shared" si="90"/>
        <v>4.9000000000000004</v>
      </c>
      <c r="G314" s="334">
        <v>21.73</v>
      </c>
      <c r="H314" s="149">
        <f t="shared" si="91"/>
        <v>55.194200000000002</v>
      </c>
      <c r="I314" s="115">
        <f t="shared" si="92"/>
        <v>270.45158000000004</v>
      </c>
      <c r="J314" s="335">
        <v>0</v>
      </c>
      <c r="K314" s="115">
        <f t="shared" si="93"/>
        <v>0</v>
      </c>
      <c r="L314" s="336">
        <f t="shared" si="94"/>
        <v>21.73</v>
      </c>
      <c r="M314" s="149">
        <f t="shared" si="95"/>
        <v>55.194200000000002</v>
      </c>
      <c r="N314" s="115">
        <f t="shared" si="96"/>
        <v>0</v>
      </c>
      <c r="O314" s="337">
        <v>0.44</v>
      </c>
      <c r="P314" s="149">
        <f t="shared" si="97"/>
        <v>1.1175999999999999</v>
      </c>
      <c r="Q314" s="115">
        <f t="shared" si="98"/>
        <v>5.4762399999999998</v>
      </c>
      <c r="R314" s="149">
        <f t="shared" si="99"/>
        <v>0</v>
      </c>
      <c r="V314" s="115"/>
    </row>
    <row r="315" spans="1:27" s="8" customFormat="1" ht="17.100000000000001" customHeight="1">
      <c r="A315" s="10">
        <v>3</v>
      </c>
      <c r="B315" s="290" t="s">
        <v>589</v>
      </c>
      <c r="C315" s="397" t="s">
        <v>590</v>
      </c>
      <c r="D315" s="333">
        <v>1</v>
      </c>
      <c r="E315" s="230">
        <v>4.5</v>
      </c>
      <c r="F315" s="149">
        <f t="shared" si="90"/>
        <v>4.5</v>
      </c>
      <c r="G315" s="334">
        <v>21.5</v>
      </c>
      <c r="H315" s="149">
        <f t="shared" si="91"/>
        <v>54.61</v>
      </c>
      <c r="I315" s="115">
        <f t="shared" si="92"/>
        <v>245.745</v>
      </c>
      <c r="J315" s="335">
        <v>0</v>
      </c>
      <c r="K315" s="115">
        <f t="shared" si="93"/>
        <v>0</v>
      </c>
      <c r="L315" s="336">
        <f t="shared" si="94"/>
        <v>21.5</v>
      </c>
      <c r="M315" s="149">
        <f t="shared" si="95"/>
        <v>54.61</v>
      </c>
      <c r="N315" s="115">
        <f t="shared" si="96"/>
        <v>0</v>
      </c>
      <c r="O315" s="337">
        <v>0.5</v>
      </c>
      <c r="P315" s="149">
        <f t="shared" si="97"/>
        <v>1.27</v>
      </c>
      <c r="Q315" s="115">
        <f t="shared" si="98"/>
        <v>5.7149999999999999</v>
      </c>
      <c r="R315" s="149">
        <f t="shared" si="99"/>
        <v>0</v>
      </c>
      <c r="V315" s="115"/>
    </row>
    <row r="316" spans="1:27" s="126" customFormat="1" ht="63" customHeight="1">
      <c r="A316" s="272">
        <v>3</v>
      </c>
      <c r="B316" s="289" t="s">
        <v>591</v>
      </c>
      <c r="C316" s="272">
        <v>52257</v>
      </c>
      <c r="D316" s="224">
        <v>1</v>
      </c>
      <c r="E316" s="230">
        <v>549</v>
      </c>
      <c r="F316" s="231">
        <f t="shared" si="90"/>
        <v>549</v>
      </c>
      <c r="G316" s="252">
        <v>21.5</v>
      </c>
      <c r="H316" s="231">
        <f t="shared" si="91"/>
        <v>54.61</v>
      </c>
      <c r="I316" s="151">
        <f t="shared" si="92"/>
        <v>29980.89</v>
      </c>
      <c r="J316" s="335">
        <v>0</v>
      </c>
      <c r="K316" s="151">
        <f t="shared" si="93"/>
        <v>0</v>
      </c>
      <c r="L316" s="254">
        <f t="shared" si="94"/>
        <v>21.5</v>
      </c>
      <c r="M316" s="231">
        <f t="shared" si="95"/>
        <v>54.61</v>
      </c>
      <c r="N316" s="115">
        <f t="shared" si="96"/>
        <v>0</v>
      </c>
      <c r="O316" s="233">
        <v>-0.43</v>
      </c>
      <c r="P316" s="231">
        <f t="shared" si="97"/>
        <v>-1.0922000000000001</v>
      </c>
      <c r="Q316" s="151">
        <f t="shared" si="98"/>
        <v>-599.61779999999999</v>
      </c>
      <c r="R316" s="231">
        <f t="shared" si="99"/>
        <v>0</v>
      </c>
      <c r="V316" s="151"/>
    </row>
    <row r="317" spans="1:27" s="126" customFormat="1" ht="15.75">
      <c r="A317" s="272">
        <v>3</v>
      </c>
      <c r="B317" s="289" t="s">
        <v>592</v>
      </c>
      <c r="C317" s="124" t="s">
        <v>593</v>
      </c>
      <c r="D317" s="224">
        <v>1</v>
      </c>
      <c r="E317" s="230">
        <v>0</v>
      </c>
      <c r="F317" s="231">
        <f t="shared" si="90"/>
        <v>0</v>
      </c>
      <c r="G317" s="252">
        <v>21.5</v>
      </c>
      <c r="H317" s="231">
        <f t="shared" si="91"/>
        <v>54.61</v>
      </c>
      <c r="I317" s="151">
        <f t="shared" si="92"/>
        <v>0</v>
      </c>
      <c r="J317" s="335">
        <v>0</v>
      </c>
      <c r="K317" s="151">
        <f t="shared" si="93"/>
        <v>0</v>
      </c>
      <c r="L317" s="254">
        <f t="shared" si="94"/>
        <v>21.5</v>
      </c>
      <c r="M317" s="231">
        <f t="shared" si="95"/>
        <v>54.61</v>
      </c>
      <c r="N317" s="115">
        <f t="shared" si="96"/>
        <v>0</v>
      </c>
      <c r="O317" s="233">
        <v>-0.43</v>
      </c>
      <c r="P317" s="231">
        <f t="shared" si="97"/>
        <v>-1.0922000000000001</v>
      </c>
      <c r="Q317" s="151">
        <f t="shared" si="98"/>
        <v>0</v>
      </c>
      <c r="R317" s="231">
        <f t="shared" si="99"/>
        <v>0</v>
      </c>
      <c r="V317" s="151"/>
    </row>
    <row r="318" spans="1:27" s="8" customFormat="1" ht="17.100000000000001" customHeight="1">
      <c r="A318" s="10">
        <v>3</v>
      </c>
      <c r="B318" s="290" t="s">
        <v>594</v>
      </c>
      <c r="C318" s="397" t="s">
        <v>590</v>
      </c>
      <c r="D318" s="333">
        <v>1</v>
      </c>
      <c r="E318" s="230">
        <v>4.5</v>
      </c>
      <c r="F318" s="149">
        <f t="shared" si="90"/>
        <v>4.5</v>
      </c>
      <c r="G318" s="334">
        <v>21.48</v>
      </c>
      <c r="H318" s="149">
        <f t="shared" si="91"/>
        <v>54.559200000000004</v>
      </c>
      <c r="I318" s="115">
        <f t="shared" si="92"/>
        <v>245.51640000000003</v>
      </c>
      <c r="J318" s="335">
        <v>0</v>
      </c>
      <c r="K318" s="115">
        <f t="shared" si="93"/>
        <v>0</v>
      </c>
      <c r="L318" s="336">
        <f t="shared" si="94"/>
        <v>21.48</v>
      </c>
      <c r="M318" s="149">
        <f t="shared" si="95"/>
        <v>54.559200000000004</v>
      </c>
      <c r="N318" s="115">
        <f t="shared" si="96"/>
        <v>0</v>
      </c>
      <c r="O318" s="337">
        <v>-0.43</v>
      </c>
      <c r="P318" s="149">
        <f t="shared" si="97"/>
        <v>-1.0922000000000001</v>
      </c>
      <c r="Q318" s="115">
        <f t="shared" si="98"/>
        <v>-4.9149000000000003</v>
      </c>
      <c r="R318" s="149">
        <f t="shared" si="99"/>
        <v>0</v>
      </c>
      <c r="V318" s="115"/>
    </row>
    <row r="319" spans="1:27" s="344" customFormat="1" ht="49.5" customHeight="1">
      <c r="A319" s="272">
        <v>3</v>
      </c>
      <c r="B319" s="289" t="s">
        <v>595</v>
      </c>
      <c r="C319" s="272">
        <v>52324</v>
      </c>
      <c r="D319" s="224">
        <v>1</v>
      </c>
      <c r="E319" s="230">
        <v>314.60000000000002</v>
      </c>
      <c r="F319" s="149">
        <f t="shared" si="90"/>
        <v>314.60000000000002</v>
      </c>
      <c r="G319" s="252">
        <v>21.6</v>
      </c>
      <c r="H319" s="231">
        <f t="shared" si="91"/>
        <v>54.864000000000004</v>
      </c>
      <c r="I319" s="151">
        <f t="shared" si="92"/>
        <v>17260.214400000004</v>
      </c>
      <c r="J319" s="335">
        <v>0</v>
      </c>
      <c r="K319" s="151">
        <f t="shared" si="93"/>
        <v>0</v>
      </c>
      <c r="L319" s="254">
        <f t="shared" si="94"/>
        <v>21.6</v>
      </c>
      <c r="M319" s="231">
        <f t="shared" si="95"/>
        <v>54.864000000000004</v>
      </c>
      <c r="N319" s="115">
        <f t="shared" si="96"/>
        <v>0</v>
      </c>
      <c r="O319" s="233">
        <v>1.9</v>
      </c>
      <c r="P319" s="231">
        <f t="shared" si="97"/>
        <v>4.8259999999999996</v>
      </c>
      <c r="Q319" s="151">
        <f t="shared" si="98"/>
        <v>1518.2596000000001</v>
      </c>
      <c r="R319" s="231">
        <f t="shared" si="99"/>
        <v>0</v>
      </c>
      <c r="S319" s="126"/>
      <c r="T319" s="126"/>
      <c r="U319" s="126"/>
      <c r="V319" s="345"/>
      <c r="W319" s="126"/>
      <c r="X319" s="126"/>
      <c r="Z319" s="126"/>
      <c r="AA319" s="126"/>
    </row>
    <row r="320" spans="1:27" s="126" customFormat="1" ht="17.100000000000001" customHeight="1">
      <c r="A320" s="124">
        <v>3</v>
      </c>
      <c r="B320" s="290" t="s">
        <v>596</v>
      </c>
      <c r="C320" s="397" t="s">
        <v>597</v>
      </c>
      <c r="D320" s="224">
        <v>1</v>
      </c>
      <c r="E320" s="230">
        <v>3.5</v>
      </c>
      <c r="F320" s="149">
        <f t="shared" si="90"/>
        <v>3.5</v>
      </c>
      <c r="G320" s="252">
        <v>20.77</v>
      </c>
      <c r="H320" s="231">
        <f t="shared" si="91"/>
        <v>52.755800000000001</v>
      </c>
      <c r="I320" s="151">
        <f t="shared" si="92"/>
        <v>184.64529999999999</v>
      </c>
      <c r="J320" s="335">
        <v>0</v>
      </c>
      <c r="K320" s="151">
        <f t="shared" si="93"/>
        <v>0</v>
      </c>
      <c r="L320" s="254">
        <f t="shared" si="94"/>
        <v>20.77</v>
      </c>
      <c r="M320" s="231">
        <f t="shared" si="95"/>
        <v>52.755800000000001</v>
      </c>
      <c r="N320" s="115">
        <f t="shared" si="96"/>
        <v>0</v>
      </c>
      <c r="O320" s="233">
        <v>0.28999999999999998</v>
      </c>
      <c r="P320" s="231">
        <f t="shared" si="97"/>
        <v>0.73659999999999992</v>
      </c>
      <c r="Q320" s="151">
        <f t="shared" si="98"/>
        <v>2.5780999999999996</v>
      </c>
      <c r="R320" s="231">
        <f t="shared" si="99"/>
        <v>0</v>
      </c>
      <c r="V320" s="151"/>
    </row>
    <row r="321" spans="1:33" s="8" customFormat="1" ht="17.100000000000001" customHeight="1">
      <c r="A321" s="10">
        <v>3</v>
      </c>
      <c r="B321" s="290" t="s">
        <v>598</v>
      </c>
      <c r="C321" s="397" t="s">
        <v>599</v>
      </c>
      <c r="D321" s="333">
        <v>1</v>
      </c>
      <c r="E321" s="230">
        <v>2661</v>
      </c>
      <c r="F321" s="149">
        <f t="shared" si="90"/>
        <v>2661</v>
      </c>
      <c r="G321" s="334">
        <v>21.6</v>
      </c>
      <c r="H321" s="149">
        <f t="shared" si="91"/>
        <v>54.864000000000004</v>
      </c>
      <c r="I321" s="115">
        <f t="shared" si="92"/>
        <v>145993.10400000002</v>
      </c>
      <c r="J321" s="335">
        <v>0</v>
      </c>
      <c r="K321" s="115">
        <f t="shared" si="93"/>
        <v>0</v>
      </c>
      <c r="L321" s="336">
        <f t="shared" si="94"/>
        <v>21.6</v>
      </c>
      <c r="M321" s="149">
        <f t="shared" si="95"/>
        <v>54.864000000000004</v>
      </c>
      <c r="N321" s="115">
        <f t="shared" si="96"/>
        <v>0</v>
      </c>
      <c r="O321" s="337">
        <v>-1.81</v>
      </c>
      <c r="P321" s="149">
        <f t="shared" si="97"/>
        <v>-4.5974000000000004</v>
      </c>
      <c r="Q321" s="115">
        <f t="shared" si="98"/>
        <v>-12233.681400000001</v>
      </c>
      <c r="R321" s="149">
        <f t="shared" si="99"/>
        <v>0</v>
      </c>
      <c r="V321" s="115"/>
    </row>
    <row r="322" spans="1:33" s="218" customFormat="1" ht="17.100000000000001" customHeight="1">
      <c r="A322" s="120">
        <v>3</v>
      </c>
      <c r="B322" s="290" t="s">
        <v>600</v>
      </c>
      <c r="C322" s="397">
        <v>49847</v>
      </c>
      <c r="D322" s="333">
        <v>1</v>
      </c>
      <c r="E322" s="230">
        <v>78</v>
      </c>
      <c r="F322" s="149">
        <f t="shared" si="90"/>
        <v>78</v>
      </c>
      <c r="G322" s="334">
        <v>21.6</v>
      </c>
      <c r="H322" s="149">
        <f t="shared" si="91"/>
        <v>54.864000000000004</v>
      </c>
      <c r="I322" s="115">
        <f t="shared" si="92"/>
        <v>4279.3920000000007</v>
      </c>
      <c r="J322" s="335">
        <v>0</v>
      </c>
      <c r="K322" s="115">
        <f t="shared" si="93"/>
        <v>0</v>
      </c>
      <c r="L322" s="336">
        <f t="shared" si="94"/>
        <v>21.6</v>
      </c>
      <c r="M322" s="149">
        <f t="shared" si="95"/>
        <v>54.864000000000004</v>
      </c>
      <c r="N322" s="115">
        <f t="shared" si="96"/>
        <v>0</v>
      </c>
      <c r="O322" s="337">
        <v>-1.64</v>
      </c>
      <c r="P322" s="149">
        <f t="shared" si="97"/>
        <v>-4.1655999999999995</v>
      </c>
      <c r="Q322" s="115">
        <f t="shared" si="98"/>
        <v>-324.91679999999997</v>
      </c>
      <c r="R322" s="149">
        <f t="shared" si="99"/>
        <v>0</v>
      </c>
      <c r="S322" s="8"/>
      <c r="T322" s="8"/>
      <c r="U322" s="8"/>
      <c r="V322" s="219"/>
      <c r="W322" s="8"/>
      <c r="X322" s="8"/>
      <c r="Z322" s="8"/>
      <c r="AA322" s="8"/>
    </row>
    <row r="323" spans="1:33" s="8" customFormat="1" ht="17.100000000000001" customHeight="1">
      <c r="A323" s="10">
        <v>3</v>
      </c>
      <c r="B323" s="290" t="s">
        <v>601</v>
      </c>
      <c r="C323" s="397" t="s">
        <v>597</v>
      </c>
      <c r="D323" s="333">
        <v>1</v>
      </c>
      <c r="E323" s="230">
        <v>5.2</v>
      </c>
      <c r="F323" s="149">
        <f t="shared" si="90"/>
        <v>5.2</v>
      </c>
      <c r="G323" s="334">
        <v>21.78</v>
      </c>
      <c r="H323" s="149">
        <f t="shared" si="91"/>
        <v>55.321200000000005</v>
      </c>
      <c r="I323" s="115">
        <f t="shared" si="92"/>
        <v>287.67024000000004</v>
      </c>
      <c r="J323" s="335">
        <v>0</v>
      </c>
      <c r="K323" s="115">
        <f t="shared" si="93"/>
        <v>0</v>
      </c>
      <c r="L323" s="336">
        <f t="shared" si="94"/>
        <v>21.78</v>
      </c>
      <c r="M323" s="149">
        <f t="shared" si="95"/>
        <v>55.321200000000005</v>
      </c>
      <c r="N323" s="115">
        <f t="shared" si="96"/>
        <v>0</v>
      </c>
      <c r="O323" s="337">
        <v>-0.25</v>
      </c>
      <c r="P323" s="149">
        <f t="shared" si="97"/>
        <v>-0.63500000000000001</v>
      </c>
      <c r="Q323" s="115">
        <f t="shared" si="98"/>
        <v>-3.302</v>
      </c>
      <c r="R323" s="149">
        <f t="shared" si="99"/>
        <v>0</v>
      </c>
      <c r="V323" s="115"/>
    </row>
    <row r="324" spans="1:33" s="8" customFormat="1" ht="17.100000000000001" customHeight="1">
      <c r="A324" s="378"/>
      <c r="B324" s="410"/>
      <c r="C324" s="378"/>
      <c r="D324" s="411"/>
      <c r="E324" s="412"/>
      <c r="F324" s="413"/>
      <c r="G324" s="414"/>
      <c r="H324" s="413"/>
      <c r="I324" s="415"/>
      <c r="J324" s="416"/>
      <c r="K324" s="415"/>
      <c r="L324" s="417"/>
      <c r="M324" s="413"/>
      <c r="N324" s="415"/>
      <c r="O324" s="418"/>
      <c r="P324" s="413"/>
      <c r="Q324" s="415"/>
      <c r="R324" s="413"/>
      <c r="V324" s="115"/>
    </row>
    <row r="325" spans="1:33" s="8" customFormat="1" ht="17.100000000000001" customHeight="1">
      <c r="A325" s="120">
        <v>2</v>
      </c>
      <c r="B325" s="247" t="s">
        <v>602</v>
      </c>
      <c r="C325" s="228">
        <v>49878</v>
      </c>
      <c r="D325" s="206"/>
      <c r="E325" s="364"/>
      <c r="F325" s="132"/>
      <c r="G325" s="439"/>
      <c r="H325" s="132"/>
      <c r="I325" s="141"/>
      <c r="J325" s="323"/>
      <c r="K325" s="228"/>
      <c r="L325" s="436"/>
      <c r="M325" s="132"/>
      <c r="N325" s="228"/>
      <c r="O325" s="199"/>
      <c r="P325" s="116"/>
      <c r="Q325" s="116"/>
      <c r="R325" s="217"/>
      <c r="V325" s="115"/>
    </row>
    <row r="326" spans="1:33" s="8" customFormat="1" ht="17.100000000000001" customHeight="1">
      <c r="A326" s="10"/>
      <c r="B326" s="234" t="s">
        <v>300</v>
      </c>
      <c r="C326" s="326">
        <f>SUM(F328:F335)</f>
        <v>7965.3</v>
      </c>
      <c r="D326" s="220" t="s">
        <v>238</v>
      </c>
      <c r="E326" s="354" t="s">
        <v>245</v>
      </c>
      <c r="F326" s="132"/>
      <c r="G326" s="439"/>
      <c r="H326" s="132"/>
      <c r="J326" s="323"/>
      <c r="L326" s="436"/>
      <c r="M326" s="132"/>
      <c r="N326" s="228"/>
      <c r="O326" s="199"/>
      <c r="P326" s="116"/>
      <c r="Q326" s="116"/>
      <c r="R326" s="217"/>
      <c r="V326" s="115"/>
    </row>
    <row r="327" spans="1:33" s="8" customFormat="1" ht="17.100000000000001" customHeight="1">
      <c r="A327" s="10"/>
      <c r="B327" s="234" t="s">
        <v>403</v>
      </c>
      <c r="C327" s="440">
        <v>7966</v>
      </c>
      <c r="D327" s="220" t="s">
        <v>238</v>
      </c>
      <c r="E327" s="365">
        <f>C327-C326</f>
        <v>0.6999999999998181</v>
      </c>
      <c r="I327" s="441"/>
      <c r="O327" s="199"/>
      <c r="T327"/>
      <c r="U327"/>
      <c r="V327"/>
      <c r="W327"/>
      <c r="X327"/>
      <c r="Y327"/>
      <c r="Z327"/>
      <c r="AA327"/>
      <c r="AB327"/>
      <c r="AC327"/>
      <c r="AD327"/>
      <c r="AE327"/>
      <c r="AF327"/>
      <c r="AG327"/>
    </row>
    <row r="328" spans="1:33" s="8" customFormat="1" ht="17.100000000000001" customHeight="1">
      <c r="A328" s="10">
        <v>3</v>
      </c>
      <c r="B328" s="8" t="s">
        <v>495</v>
      </c>
      <c r="C328" s="10">
        <v>49817</v>
      </c>
      <c r="D328" s="333">
        <v>1</v>
      </c>
      <c r="E328" s="230">
        <v>3606</v>
      </c>
      <c r="F328" s="149">
        <f t="shared" ref="F328:F335" si="100">E328*D328</f>
        <v>3606</v>
      </c>
      <c r="G328" s="385">
        <v>43.539000000000001</v>
      </c>
      <c r="H328" s="149">
        <f t="shared" ref="H328:H335" si="101">G328*2.54</f>
        <v>110.58906</v>
      </c>
      <c r="I328" s="115">
        <f t="shared" ref="I328:I335" si="102">F328*H328</f>
        <v>398784.15036000003</v>
      </c>
      <c r="J328" s="328">
        <v>12257.8</v>
      </c>
      <c r="K328" s="149">
        <f t="shared" ref="K328:K335" si="103">J328*D328</f>
        <v>12257.8</v>
      </c>
      <c r="L328" s="336">
        <v>43.539000000000001</v>
      </c>
      <c r="M328" s="149">
        <f t="shared" ref="M328:M335" si="104">L328*2.54</f>
        <v>110.58906</v>
      </c>
      <c r="N328" s="115">
        <f t="shared" ref="N328:N335" si="105">K328*M328</f>
        <v>1355578.5796679999</v>
      </c>
      <c r="O328" s="337">
        <v>0</v>
      </c>
      <c r="P328" s="149">
        <f t="shared" ref="P328:P335" si="106">O328*2.54</f>
        <v>0</v>
      </c>
      <c r="Q328" s="115">
        <f t="shared" ref="Q328:Q335" si="107">F328*P328</f>
        <v>0</v>
      </c>
      <c r="R328" s="149">
        <f t="shared" ref="R328:R335" si="108">K328*P328</f>
        <v>0</v>
      </c>
      <c r="V328" s="115"/>
    </row>
    <row r="329" spans="1:33" s="218" customFormat="1" ht="17.100000000000001" customHeight="1">
      <c r="A329" s="10">
        <v>3</v>
      </c>
      <c r="B329" s="8" t="s">
        <v>496</v>
      </c>
      <c r="C329" s="10">
        <v>49817</v>
      </c>
      <c r="D329" s="333">
        <v>1</v>
      </c>
      <c r="E329" s="230">
        <v>3602</v>
      </c>
      <c r="F329" s="149">
        <f t="shared" si="100"/>
        <v>3602</v>
      </c>
      <c r="G329" s="385">
        <v>33.670999999999999</v>
      </c>
      <c r="H329" s="149">
        <f t="shared" si="101"/>
        <v>85.524339999999995</v>
      </c>
      <c r="I329" s="115">
        <f t="shared" si="102"/>
        <v>308058.67267999996</v>
      </c>
      <c r="J329" s="328">
        <v>12257.8</v>
      </c>
      <c r="K329" s="149">
        <f t="shared" si="103"/>
        <v>12257.8</v>
      </c>
      <c r="L329" s="336">
        <v>33.670999999999999</v>
      </c>
      <c r="M329" s="149">
        <f t="shared" si="104"/>
        <v>85.524339999999995</v>
      </c>
      <c r="N329" s="115">
        <f t="shared" si="105"/>
        <v>1048340.2548519999</v>
      </c>
      <c r="O329" s="337">
        <v>0</v>
      </c>
      <c r="P329" s="149">
        <f t="shared" si="106"/>
        <v>0</v>
      </c>
      <c r="Q329" s="115">
        <f t="shared" si="107"/>
        <v>0</v>
      </c>
      <c r="R329" s="149">
        <f t="shared" si="108"/>
        <v>0</v>
      </c>
      <c r="V329" s="219"/>
    </row>
    <row r="330" spans="1:33" s="8" customFormat="1" ht="17.100000000000001" customHeight="1">
      <c r="A330" s="10">
        <v>3</v>
      </c>
      <c r="B330" s="8" t="s">
        <v>497</v>
      </c>
      <c r="C330" s="10">
        <v>49818</v>
      </c>
      <c r="D330" s="333">
        <v>1</v>
      </c>
      <c r="E330" s="230">
        <v>679</v>
      </c>
      <c r="F330" s="149">
        <f t="shared" si="100"/>
        <v>679</v>
      </c>
      <c r="G330" s="385">
        <v>38.935000000000002</v>
      </c>
      <c r="H330" s="149">
        <f t="shared" si="101"/>
        <v>98.894900000000007</v>
      </c>
      <c r="I330" s="115">
        <f t="shared" si="102"/>
        <v>67149.637100000007</v>
      </c>
      <c r="J330" s="328">
        <v>436.8</v>
      </c>
      <c r="K330" s="149">
        <f t="shared" si="103"/>
        <v>436.8</v>
      </c>
      <c r="L330" s="336">
        <f t="shared" ref="L330:L335" si="109">G330</f>
        <v>38.935000000000002</v>
      </c>
      <c r="M330" s="149">
        <f t="shared" si="104"/>
        <v>98.894900000000007</v>
      </c>
      <c r="N330" s="115">
        <f t="shared" si="105"/>
        <v>43197.292320000008</v>
      </c>
      <c r="O330" s="337">
        <v>0</v>
      </c>
      <c r="P330" s="149">
        <f t="shared" si="106"/>
        <v>0</v>
      </c>
      <c r="Q330" s="115">
        <f t="shared" si="107"/>
        <v>0</v>
      </c>
      <c r="R330" s="149">
        <f t="shared" si="108"/>
        <v>0</v>
      </c>
      <c r="V330" s="115"/>
    </row>
    <row r="331" spans="1:33" s="8" customFormat="1" ht="17.100000000000001" customHeight="1">
      <c r="A331" s="10">
        <v>3</v>
      </c>
      <c r="B331" s="8" t="s">
        <v>498</v>
      </c>
      <c r="C331" s="397" t="s">
        <v>499</v>
      </c>
      <c r="D331" s="333">
        <v>1</v>
      </c>
      <c r="E331" s="230">
        <v>13.2</v>
      </c>
      <c r="F331" s="149">
        <f t="shared" si="100"/>
        <v>13.2</v>
      </c>
      <c r="G331" s="385">
        <v>38.625</v>
      </c>
      <c r="H331" s="149">
        <f t="shared" si="101"/>
        <v>98.107500000000002</v>
      </c>
      <c r="I331" s="115">
        <f t="shared" si="102"/>
        <v>1295.019</v>
      </c>
      <c r="J331" s="253">
        <v>0</v>
      </c>
      <c r="K331" s="149">
        <f t="shared" si="103"/>
        <v>0</v>
      </c>
      <c r="L331" s="336">
        <f t="shared" si="109"/>
        <v>38.625</v>
      </c>
      <c r="M331" s="149">
        <f t="shared" si="104"/>
        <v>98.107500000000002</v>
      </c>
      <c r="N331" s="115">
        <f t="shared" si="105"/>
        <v>0</v>
      </c>
      <c r="O331" s="337">
        <v>0</v>
      </c>
      <c r="P331" s="149">
        <f t="shared" si="106"/>
        <v>0</v>
      </c>
      <c r="Q331" s="115">
        <f t="shared" si="107"/>
        <v>0</v>
      </c>
      <c r="R331" s="149">
        <f t="shared" si="108"/>
        <v>0</v>
      </c>
      <c r="V331" s="115"/>
    </row>
    <row r="332" spans="1:33" s="8" customFormat="1" ht="17.100000000000001" customHeight="1">
      <c r="A332" s="10">
        <v>3</v>
      </c>
      <c r="B332" s="8" t="s">
        <v>500</v>
      </c>
      <c r="C332" s="442">
        <v>52412</v>
      </c>
      <c r="D332" s="333">
        <v>1</v>
      </c>
      <c r="E332" s="230">
        <v>16.8</v>
      </c>
      <c r="F332" s="149">
        <f t="shared" si="100"/>
        <v>16.8</v>
      </c>
      <c r="G332" s="385">
        <v>38.625</v>
      </c>
      <c r="H332" s="149">
        <f t="shared" si="101"/>
        <v>98.107500000000002</v>
      </c>
      <c r="I332" s="115">
        <f t="shared" si="102"/>
        <v>1648.2060000000001</v>
      </c>
      <c r="J332" s="328">
        <v>7.32</v>
      </c>
      <c r="K332" s="149">
        <f t="shared" si="103"/>
        <v>7.32</v>
      </c>
      <c r="L332" s="336">
        <f t="shared" si="109"/>
        <v>38.625</v>
      </c>
      <c r="M332" s="149">
        <f t="shared" si="104"/>
        <v>98.107500000000002</v>
      </c>
      <c r="N332" s="115">
        <f t="shared" si="105"/>
        <v>718.14690000000007</v>
      </c>
      <c r="O332" s="337">
        <v>0</v>
      </c>
      <c r="P332" s="149">
        <f t="shared" si="106"/>
        <v>0</v>
      </c>
      <c r="Q332" s="115">
        <f t="shared" si="107"/>
        <v>0</v>
      </c>
      <c r="R332" s="149">
        <f t="shared" si="108"/>
        <v>0</v>
      </c>
      <c r="V332" s="115"/>
    </row>
    <row r="333" spans="1:33" s="8" customFormat="1" ht="17.100000000000001" customHeight="1">
      <c r="A333" s="10">
        <v>3</v>
      </c>
      <c r="B333" s="8" t="s">
        <v>501</v>
      </c>
      <c r="C333" s="10">
        <v>49883</v>
      </c>
      <c r="D333" s="333">
        <v>1</v>
      </c>
      <c r="E333" s="230">
        <v>25.8</v>
      </c>
      <c r="F333" s="149">
        <f t="shared" si="100"/>
        <v>25.8</v>
      </c>
      <c r="G333" s="385">
        <v>38.625</v>
      </c>
      <c r="H333" s="149">
        <f t="shared" si="101"/>
        <v>98.107500000000002</v>
      </c>
      <c r="I333" s="115">
        <f t="shared" si="102"/>
        <v>2531.1735000000003</v>
      </c>
      <c r="J333" s="335">
        <v>0</v>
      </c>
      <c r="K333" s="115">
        <f t="shared" si="103"/>
        <v>0</v>
      </c>
      <c r="L333" s="336">
        <f t="shared" si="109"/>
        <v>38.625</v>
      </c>
      <c r="M333" s="149">
        <f t="shared" si="104"/>
        <v>98.107500000000002</v>
      </c>
      <c r="N333" s="115">
        <f t="shared" si="105"/>
        <v>0</v>
      </c>
      <c r="O333" s="337">
        <v>3.95</v>
      </c>
      <c r="P333" s="149">
        <f t="shared" si="106"/>
        <v>10.033000000000001</v>
      </c>
      <c r="Q333" s="115">
        <f t="shared" si="107"/>
        <v>258.85140000000001</v>
      </c>
      <c r="R333" s="149">
        <f t="shared" si="108"/>
        <v>0</v>
      </c>
      <c r="V333" s="115"/>
    </row>
    <row r="334" spans="1:33" s="8" customFormat="1" ht="17.100000000000001" customHeight="1">
      <c r="A334" s="10">
        <v>3</v>
      </c>
      <c r="B334" s="8" t="s">
        <v>502</v>
      </c>
      <c r="C334" s="442">
        <v>52405</v>
      </c>
      <c r="D334" s="333">
        <v>1</v>
      </c>
      <c r="E334" s="230">
        <v>18.399999999999999</v>
      </c>
      <c r="F334" s="149">
        <f t="shared" si="100"/>
        <v>18.399999999999999</v>
      </c>
      <c r="G334" s="385">
        <v>38.625</v>
      </c>
      <c r="H334" s="149">
        <f t="shared" si="101"/>
        <v>98.107500000000002</v>
      </c>
      <c r="I334" s="115">
        <f t="shared" si="102"/>
        <v>1805.1779999999999</v>
      </c>
      <c r="J334" s="335">
        <v>0</v>
      </c>
      <c r="K334" s="115">
        <f t="shared" si="103"/>
        <v>0</v>
      </c>
      <c r="L334" s="336">
        <f t="shared" si="109"/>
        <v>38.625</v>
      </c>
      <c r="M334" s="149">
        <f t="shared" si="104"/>
        <v>98.107500000000002</v>
      </c>
      <c r="N334" s="115">
        <f t="shared" si="105"/>
        <v>0</v>
      </c>
      <c r="O334" s="337">
        <v>3.95</v>
      </c>
      <c r="P334" s="149">
        <f t="shared" si="106"/>
        <v>10.033000000000001</v>
      </c>
      <c r="Q334" s="115">
        <f t="shared" si="107"/>
        <v>184.60720000000001</v>
      </c>
      <c r="R334" s="149">
        <f t="shared" si="108"/>
        <v>0</v>
      </c>
      <c r="V334" s="115"/>
    </row>
    <row r="335" spans="1:33" s="8" customFormat="1" ht="17.100000000000001" customHeight="1">
      <c r="A335" s="10">
        <v>3</v>
      </c>
      <c r="B335" s="8" t="s">
        <v>503</v>
      </c>
      <c r="C335" s="397" t="s">
        <v>504</v>
      </c>
      <c r="D335" s="333">
        <v>1</v>
      </c>
      <c r="E335" s="230">
        <v>4.0999999999999996</v>
      </c>
      <c r="F335" s="149">
        <f t="shared" si="100"/>
        <v>4.0999999999999996</v>
      </c>
      <c r="G335" s="385">
        <v>38.625</v>
      </c>
      <c r="H335" s="149">
        <f t="shared" si="101"/>
        <v>98.107500000000002</v>
      </c>
      <c r="I335" s="115">
        <f t="shared" si="102"/>
        <v>402.24074999999999</v>
      </c>
      <c r="J335" s="335">
        <v>0</v>
      </c>
      <c r="K335" s="115">
        <f t="shared" si="103"/>
        <v>0</v>
      </c>
      <c r="L335" s="336">
        <f t="shared" si="109"/>
        <v>38.625</v>
      </c>
      <c r="M335" s="149">
        <f t="shared" si="104"/>
        <v>98.107500000000002</v>
      </c>
      <c r="N335" s="115">
        <f t="shared" si="105"/>
        <v>0</v>
      </c>
      <c r="O335" s="337">
        <v>3.95</v>
      </c>
      <c r="P335" s="149">
        <f t="shared" si="106"/>
        <v>10.033000000000001</v>
      </c>
      <c r="Q335" s="115">
        <f t="shared" si="107"/>
        <v>41.135300000000001</v>
      </c>
      <c r="R335" s="149">
        <f t="shared" si="108"/>
        <v>0</v>
      </c>
      <c r="V335" s="115"/>
    </row>
    <row r="336" spans="1:33" s="8" customFormat="1" ht="17.100000000000001" customHeight="1">
      <c r="A336" s="378"/>
      <c r="B336" s="383"/>
      <c r="C336" s="378"/>
      <c r="D336" s="411"/>
      <c r="E336" s="412"/>
      <c r="F336" s="413"/>
      <c r="G336" s="414"/>
      <c r="H336" s="413"/>
      <c r="I336" s="415"/>
      <c r="J336" s="443"/>
      <c r="K336" s="415"/>
      <c r="L336" s="417"/>
      <c r="M336" s="413"/>
      <c r="N336" s="415"/>
      <c r="O336" s="418"/>
      <c r="P336" s="413"/>
      <c r="Q336" s="415"/>
      <c r="R336" s="413"/>
      <c r="V336" s="115"/>
    </row>
    <row r="337" spans="1:33" s="126" customFormat="1" ht="16.5" customHeight="1">
      <c r="A337" s="272">
        <v>2</v>
      </c>
      <c r="B337" s="350" t="s">
        <v>505</v>
      </c>
      <c r="C337" s="444">
        <v>49877</v>
      </c>
      <c r="D337" s="205"/>
      <c r="E337" s="364"/>
      <c r="F337" s="227"/>
      <c r="G337" s="445"/>
      <c r="H337" s="227"/>
      <c r="I337" s="280"/>
      <c r="J337" s="323"/>
      <c r="K337" s="444"/>
      <c r="L337" s="142"/>
      <c r="M337" s="227"/>
      <c r="N337" s="444"/>
      <c r="O337" s="273"/>
      <c r="P337" s="129"/>
      <c r="Q337" s="129"/>
      <c r="R337" s="278"/>
      <c r="V337" s="151"/>
    </row>
    <row r="338" spans="1:33" s="126" customFormat="1" ht="17.100000000000001" customHeight="1">
      <c r="A338" s="124"/>
      <c r="B338" s="363" t="s">
        <v>300</v>
      </c>
      <c r="C338" s="282">
        <f>SUM(F340:F352)</f>
        <v>5158.699999999998</v>
      </c>
      <c r="D338" s="220" t="s">
        <v>238</v>
      </c>
      <c r="E338" s="354" t="s">
        <v>245</v>
      </c>
      <c r="F338" s="227"/>
      <c r="G338" s="445"/>
      <c r="H338" s="227"/>
      <c r="J338" s="323"/>
      <c r="L338" s="142"/>
      <c r="M338" s="227"/>
      <c r="N338" s="444"/>
      <c r="O338" s="273"/>
      <c r="P338" s="129"/>
      <c r="Q338" s="129"/>
      <c r="R338" s="278"/>
      <c r="V338" s="151"/>
    </row>
    <row r="339" spans="1:33" s="126" customFormat="1" ht="17.100000000000001" customHeight="1">
      <c r="A339" s="124"/>
      <c r="B339" s="363" t="s">
        <v>403</v>
      </c>
      <c r="C339" s="364">
        <v>5167</v>
      </c>
      <c r="D339" s="386" t="s">
        <v>238</v>
      </c>
      <c r="E339" s="365">
        <f>C339-C338</f>
        <v>8.3000000000020009</v>
      </c>
      <c r="I339" s="387"/>
      <c r="O339" s="273"/>
      <c r="T339"/>
      <c r="U339"/>
      <c r="V339"/>
      <c r="W339"/>
      <c r="X339"/>
      <c r="Y339"/>
      <c r="Z339"/>
      <c r="AA339"/>
      <c r="AB339"/>
      <c r="AC339"/>
      <c r="AD339"/>
      <c r="AE339"/>
      <c r="AF339"/>
      <c r="AG339"/>
    </row>
    <row r="340" spans="1:33" s="126" customFormat="1" ht="17.100000000000001" customHeight="1">
      <c r="A340" s="124">
        <v>3</v>
      </c>
      <c r="B340" s="126" t="s">
        <v>506</v>
      </c>
      <c r="C340" s="124">
        <v>49830</v>
      </c>
      <c r="D340" s="224">
        <v>1</v>
      </c>
      <c r="E340" s="230">
        <v>1895</v>
      </c>
      <c r="F340" s="231">
        <f t="shared" ref="F340:F346" si="110">E340*D340</f>
        <v>1895</v>
      </c>
      <c r="G340" s="252">
        <v>15.566000000000001</v>
      </c>
      <c r="H340" s="231">
        <f t="shared" ref="H340:H346" si="111">G340*2.54</f>
        <v>39.537640000000003</v>
      </c>
      <c r="I340" s="151">
        <f t="shared" ref="I340:I346" si="112">F340*H340</f>
        <v>74923.827799999999</v>
      </c>
      <c r="J340" s="328">
        <v>5178.3</v>
      </c>
      <c r="K340" s="231">
        <f t="shared" ref="K340:K346" si="113">J340*D340</f>
        <v>5178.3</v>
      </c>
      <c r="L340" s="254">
        <v>15.781000000000001</v>
      </c>
      <c r="M340" s="231">
        <f t="shared" ref="M340:M346" si="114">L340*2.54</f>
        <v>40.083739999999999</v>
      </c>
      <c r="N340" s="115">
        <f t="shared" ref="N340:N346" si="115">K340*M340</f>
        <v>207565.63084200001</v>
      </c>
      <c r="O340" s="233">
        <v>0</v>
      </c>
      <c r="P340" s="231">
        <f t="shared" ref="P340:P346" si="116">O340*2.54</f>
        <v>0</v>
      </c>
      <c r="Q340" s="151">
        <f t="shared" ref="Q340:Q346" si="117">F340*P340</f>
        <v>0</v>
      </c>
      <c r="R340" s="231">
        <f t="shared" ref="R340:R346" si="118">K340*P340</f>
        <v>0</v>
      </c>
      <c r="V340" s="151"/>
    </row>
    <row r="341" spans="1:33" s="446" customFormat="1" ht="17.100000000000001" customHeight="1">
      <c r="A341" s="124">
        <v>3</v>
      </c>
      <c r="B341" s="126" t="s">
        <v>507</v>
      </c>
      <c r="C341" s="293" t="s">
        <v>620</v>
      </c>
      <c r="D341" s="224">
        <v>1</v>
      </c>
      <c r="E341" s="230">
        <v>1441.1</v>
      </c>
      <c r="F341" s="231">
        <f t="shared" si="110"/>
        <v>1441.1</v>
      </c>
      <c r="G341" s="252">
        <v>9.0150000000000006</v>
      </c>
      <c r="H341" s="231">
        <f t="shared" si="111"/>
        <v>22.898100000000003</v>
      </c>
      <c r="I341" s="151">
        <f t="shared" si="112"/>
        <v>32998.451910000003</v>
      </c>
      <c r="J341" s="328">
        <v>656.2</v>
      </c>
      <c r="K341" s="231">
        <f t="shared" si="113"/>
        <v>656.2</v>
      </c>
      <c r="L341" s="254">
        <v>9.0150000000000006</v>
      </c>
      <c r="M341" s="231">
        <f t="shared" si="114"/>
        <v>22.898100000000003</v>
      </c>
      <c r="N341" s="115">
        <f t="shared" si="115"/>
        <v>15025.733220000004</v>
      </c>
      <c r="O341" s="233">
        <v>0</v>
      </c>
      <c r="P341" s="231">
        <f t="shared" si="116"/>
        <v>0</v>
      </c>
      <c r="Q341" s="151">
        <f t="shared" si="117"/>
        <v>0</v>
      </c>
      <c r="R341" s="231">
        <f t="shared" si="118"/>
        <v>0</v>
      </c>
      <c r="V341" s="447"/>
    </row>
    <row r="342" spans="1:33" s="446" customFormat="1" ht="17.100000000000001" customHeight="1">
      <c r="A342" s="124">
        <v>3</v>
      </c>
      <c r="B342" s="126" t="s">
        <v>621</v>
      </c>
      <c r="C342" s="251">
        <v>52413</v>
      </c>
      <c r="D342" s="224">
        <v>1</v>
      </c>
      <c r="E342" s="230">
        <v>3.2</v>
      </c>
      <c r="F342" s="231">
        <f t="shared" si="110"/>
        <v>3.2</v>
      </c>
      <c r="G342" s="252">
        <v>10.5</v>
      </c>
      <c r="H342" s="231">
        <f t="shared" si="111"/>
        <v>26.67</v>
      </c>
      <c r="I342" s="151">
        <f t="shared" si="112"/>
        <v>85.344000000000008</v>
      </c>
      <c r="J342" s="335">
        <v>0</v>
      </c>
      <c r="K342" s="151">
        <f t="shared" si="113"/>
        <v>0</v>
      </c>
      <c r="L342" s="254">
        <f>G342</f>
        <v>10.5</v>
      </c>
      <c r="M342" s="231">
        <f t="shared" si="114"/>
        <v>26.67</v>
      </c>
      <c r="N342" s="115">
        <f t="shared" si="115"/>
        <v>0</v>
      </c>
      <c r="O342" s="233">
        <v>0</v>
      </c>
      <c r="P342" s="231">
        <f t="shared" si="116"/>
        <v>0</v>
      </c>
      <c r="Q342" s="151">
        <f t="shared" si="117"/>
        <v>0</v>
      </c>
      <c r="R342" s="231">
        <f t="shared" si="118"/>
        <v>0</v>
      </c>
      <c r="V342" s="447"/>
    </row>
    <row r="343" spans="1:33" s="126" customFormat="1" ht="17.100000000000001" customHeight="1">
      <c r="A343" s="124">
        <v>3</v>
      </c>
      <c r="B343" s="290" t="s">
        <v>622</v>
      </c>
      <c r="C343" s="293" t="s">
        <v>623</v>
      </c>
      <c r="D343" s="224">
        <v>1</v>
      </c>
      <c r="E343" s="230">
        <v>19.5</v>
      </c>
      <c r="F343" s="231">
        <f t="shared" si="110"/>
        <v>19.5</v>
      </c>
      <c r="G343" s="252">
        <v>10.7</v>
      </c>
      <c r="H343" s="231">
        <f t="shared" si="111"/>
        <v>27.177999999999997</v>
      </c>
      <c r="I343" s="151">
        <f t="shared" si="112"/>
        <v>529.971</v>
      </c>
      <c r="J343" s="335">
        <v>0</v>
      </c>
      <c r="K343" s="151">
        <f t="shared" si="113"/>
        <v>0</v>
      </c>
      <c r="L343" s="254">
        <f>G343</f>
        <v>10.7</v>
      </c>
      <c r="M343" s="231">
        <f t="shared" si="114"/>
        <v>27.177999999999997</v>
      </c>
      <c r="N343" s="115">
        <f t="shared" si="115"/>
        <v>0</v>
      </c>
      <c r="O343" s="233">
        <v>0</v>
      </c>
      <c r="P343" s="231">
        <f t="shared" si="116"/>
        <v>0</v>
      </c>
      <c r="Q343" s="151">
        <f t="shared" si="117"/>
        <v>0</v>
      </c>
      <c r="R343" s="231">
        <f t="shared" si="118"/>
        <v>0</v>
      </c>
      <c r="V343" s="124"/>
    </row>
    <row r="344" spans="1:33" s="126" customFormat="1" ht="17.100000000000001" customHeight="1">
      <c r="A344" s="124">
        <v>3</v>
      </c>
      <c r="B344" s="126" t="s">
        <v>624</v>
      </c>
      <c r="C344" s="124">
        <v>49829</v>
      </c>
      <c r="D344" s="224">
        <v>1</v>
      </c>
      <c r="E344" s="230">
        <v>1685</v>
      </c>
      <c r="F344" s="231">
        <f t="shared" si="110"/>
        <v>1685</v>
      </c>
      <c r="G344" s="252">
        <v>22.843</v>
      </c>
      <c r="H344" s="231">
        <f t="shared" si="111"/>
        <v>58.02122</v>
      </c>
      <c r="I344" s="151">
        <f t="shared" si="112"/>
        <v>97765.755699999994</v>
      </c>
      <c r="J344" s="328">
        <v>5240.8999999999996</v>
      </c>
      <c r="K344" s="231">
        <f t="shared" si="113"/>
        <v>5240.8999999999996</v>
      </c>
      <c r="L344" s="254">
        <v>22.919</v>
      </c>
      <c r="M344" s="231">
        <f t="shared" si="114"/>
        <v>58.214260000000003</v>
      </c>
      <c r="N344" s="115">
        <f t="shared" si="115"/>
        <v>305095.11523399997</v>
      </c>
      <c r="O344" s="233">
        <v>0</v>
      </c>
      <c r="P344" s="231">
        <f t="shared" si="116"/>
        <v>0</v>
      </c>
      <c r="Q344" s="151">
        <f t="shared" si="117"/>
        <v>0</v>
      </c>
      <c r="R344" s="231">
        <f t="shared" si="118"/>
        <v>0</v>
      </c>
      <c r="V344" s="151"/>
    </row>
    <row r="345" spans="1:33" s="126" customFormat="1" ht="17.100000000000001" customHeight="1">
      <c r="A345" s="124">
        <v>3</v>
      </c>
      <c r="B345" s="126" t="s">
        <v>625</v>
      </c>
      <c r="C345" s="251">
        <v>52410</v>
      </c>
      <c r="D345" s="224">
        <v>1</v>
      </c>
      <c r="E345" s="230">
        <v>6.4</v>
      </c>
      <c r="F345" s="231">
        <f t="shared" si="110"/>
        <v>6.4</v>
      </c>
      <c r="G345" s="252">
        <v>19.77</v>
      </c>
      <c r="H345" s="231">
        <f t="shared" si="111"/>
        <v>50.215800000000002</v>
      </c>
      <c r="I345" s="151">
        <f t="shared" si="112"/>
        <v>321.38112000000001</v>
      </c>
      <c r="J345" s="328">
        <v>5.76</v>
      </c>
      <c r="K345" s="231">
        <f t="shared" si="113"/>
        <v>5.76</v>
      </c>
      <c r="L345" s="254">
        <f>G345</f>
        <v>19.77</v>
      </c>
      <c r="M345" s="231">
        <f t="shared" si="114"/>
        <v>50.215800000000002</v>
      </c>
      <c r="N345" s="115">
        <f t="shared" si="115"/>
        <v>289.24300799999997</v>
      </c>
      <c r="O345" s="233">
        <v>0</v>
      </c>
      <c r="P345" s="231">
        <f t="shared" si="116"/>
        <v>0</v>
      </c>
      <c r="Q345" s="151">
        <f t="shared" si="117"/>
        <v>0</v>
      </c>
      <c r="R345" s="231">
        <f t="shared" si="118"/>
        <v>0</v>
      </c>
      <c r="V345" s="151"/>
    </row>
    <row r="346" spans="1:33" s="126" customFormat="1" ht="17.100000000000001" customHeight="1">
      <c r="A346" s="124">
        <v>3</v>
      </c>
      <c r="B346" s="290" t="s">
        <v>626</v>
      </c>
      <c r="C346" s="251" t="s">
        <v>411</v>
      </c>
      <c r="D346" s="224">
        <v>1</v>
      </c>
      <c r="E346" s="230">
        <v>10.4</v>
      </c>
      <c r="F346" s="231">
        <f t="shared" si="110"/>
        <v>10.4</v>
      </c>
      <c r="G346" s="252">
        <v>19.87</v>
      </c>
      <c r="H346" s="231">
        <f t="shared" si="111"/>
        <v>50.469800000000006</v>
      </c>
      <c r="I346" s="151">
        <f t="shared" si="112"/>
        <v>524.88592000000006</v>
      </c>
      <c r="J346" s="335">
        <v>0</v>
      </c>
      <c r="K346" s="151">
        <f t="shared" si="113"/>
        <v>0</v>
      </c>
      <c r="L346" s="254">
        <f>G346</f>
        <v>19.87</v>
      </c>
      <c r="M346" s="231">
        <f t="shared" si="114"/>
        <v>50.469800000000006</v>
      </c>
      <c r="N346" s="115">
        <f t="shared" si="115"/>
        <v>0</v>
      </c>
      <c r="O346" s="233">
        <v>0</v>
      </c>
      <c r="P346" s="231">
        <f t="shared" si="116"/>
        <v>0</v>
      </c>
      <c r="Q346" s="151">
        <f t="shared" si="117"/>
        <v>0</v>
      </c>
      <c r="R346" s="231">
        <f t="shared" si="118"/>
        <v>0</v>
      </c>
      <c r="V346" s="124"/>
    </row>
    <row r="347" spans="1:33" s="126" customFormat="1" ht="17.100000000000001" customHeight="1">
      <c r="A347" s="124"/>
      <c r="B347" s="290" t="s">
        <v>627</v>
      </c>
      <c r="C347" s="251"/>
      <c r="D347" s="224"/>
      <c r="E347" s="230"/>
      <c r="F347" s="231"/>
      <c r="G347" s="252"/>
      <c r="H347" s="231"/>
      <c r="I347" s="151"/>
      <c r="J347" s="335"/>
      <c r="K347" s="151"/>
      <c r="L347" s="254"/>
      <c r="M347" s="231"/>
      <c r="N347" s="115"/>
      <c r="O347" s="233"/>
      <c r="P347" s="231"/>
      <c r="Q347" s="151"/>
      <c r="R347" s="231"/>
      <c r="V347" s="124"/>
    </row>
    <row r="348" spans="1:33" s="126" customFormat="1" ht="17.100000000000001" customHeight="1">
      <c r="A348" s="124">
        <v>3</v>
      </c>
      <c r="B348" s="290" t="s">
        <v>628</v>
      </c>
      <c r="C348" s="293">
        <v>49848</v>
      </c>
      <c r="D348" s="224">
        <v>1</v>
      </c>
      <c r="E348" s="230">
        <v>25.3</v>
      </c>
      <c r="F348" s="231">
        <f>E348*D348</f>
        <v>25.3</v>
      </c>
      <c r="G348" s="252">
        <v>12.01</v>
      </c>
      <c r="H348" s="231">
        <f>G348*2.54</f>
        <v>30.505400000000002</v>
      </c>
      <c r="I348" s="151">
        <f>F348*H348</f>
        <v>771.78662000000008</v>
      </c>
      <c r="J348" s="335">
        <v>0</v>
      </c>
      <c r="K348" s="151">
        <f>J348*D348</f>
        <v>0</v>
      </c>
      <c r="L348" s="254">
        <f>G348</f>
        <v>12.01</v>
      </c>
      <c r="M348" s="231">
        <f>L348*2.54</f>
        <v>30.505400000000002</v>
      </c>
      <c r="N348" s="115">
        <f>K348*M348</f>
        <v>0</v>
      </c>
      <c r="O348" s="233">
        <v>-0.35</v>
      </c>
      <c r="P348" s="231">
        <f>O348*2.54</f>
        <v>-0.8889999999999999</v>
      </c>
      <c r="Q348" s="151">
        <f>F348*P348</f>
        <v>-22.491699999999998</v>
      </c>
      <c r="R348" s="231">
        <f>K348*P348</f>
        <v>0</v>
      </c>
      <c r="V348" s="124"/>
    </row>
    <row r="349" spans="1:33" s="344" customFormat="1" ht="17.100000000000001" customHeight="1">
      <c r="A349" s="124">
        <v>3</v>
      </c>
      <c r="B349" s="290" t="s">
        <v>629</v>
      </c>
      <c r="C349" s="293" t="s">
        <v>788</v>
      </c>
      <c r="D349" s="224">
        <v>1</v>
      </c>
      <c r="E349" s="230">
        <v>45.9</v>
      </c>
      <c r="F349" s="231">
        <f>E349*D349</f>
        <v>45.9</v>
      </c>
      <c r="G349" s="252">
        <v>12.01</v>
      </c>
      <c r="H349" s="231">
        <f>G349*2.54</f>
        <v>30.505400000000002</v>
      </c>
      <c r="I349" s="151">
        <f>F349*H349</f>
        <v>1400.19786</v>
      </c>
      <c r="J349" s="335">
        <v>0</v>
      </c>
      <c r="K349" s="151">
        <f>J349*D349</f>
        <v>0</v>
      </c>
      <c r="L349" s="254">
        <f>G349</f>
        <v>12.01</v>
      </c>
      <c r="M349" s="231">
        <f>L349*2.54</f>
        <v>30.505400000000002</v>
      </c>
      <c r="N349" s="115">
        <f>K349*M349</f>
        <v>0</v>
      </c>
      <c r="O349" s="233">
        <v>0</v>
      </c>
      <c r="P349" s="231">
        <f>O349*2.54</f>
        <v>0</v>
      </c>
      <c r="Q349" s="151">
        <f>F349*P349</f>
        <v>0</v>
      </c>
      <c r="R349" s="231">
        <f>K349*P349</f>
        <v>0</v>
      </c>
      <c r="V349" s="272"/>
    </row>
    <row r="350" spans="1:33" s="126" customFormat="1" ht="17.100000000000001" customHeight="1">
      <c r="A350" s="124">
        <v>3</v>
      </c>
      <c r="B350" s="290" t="s">
        <v>789</v>
      </c>
      <c r="C350" s="293" t="s">
        <v>790</v>
      </c>
      <c r="D350" s="224">
        <v>1</v>
      </c>
      <c r="E350" s="230">
        <v>2.9</v>
      </c>
      <c r="F350" s="231">
        <f>E350*D350</f>
        <v>2.9</v>
      </c>
      <c r="G350" s="252">
        <v>12.01</v>
      </c>
      <c r="H350" s="231">
        <f>G350*2.54</f>
        <v>30.505400000000002</v>
      </c>
      <c r="I350" s="151">
        <f>F350*H350</f>
        <v>88.46566</v>
      </c>
      <c r="J350" s="335">
        <v>0</v>
      </c>
      <c r="K350" s="151">
        <f>J350*D350</f>
        <v>0</v>
      </c>
      <c r="L350" s="254">
        <f>G350</f>
        <v>12.01</v>
      </c>
      <c r="M350" s="231">
        <f>L350*2.54</f>
        <v>30.505400000000002</v>
      </c>
      <c r="N350" s="115">
        <f>K350*M350</f>
        <v>0</v>
      </c>
      <c r="O350" s="233">
        <v>-0.31</v>
      </c>
      <c r="P350" s="231">
        <f>O350*2.54</f>
        <v>-0.78739999999999999</v>
      </c>
      <c r="Q350" s="151">
        <f>F350*P350</f>
        <v>-2.2834599999999998</v>
      </c>
      <c r="R350" s="231">
        <f>K350*P350</f>
        <v>0</v>
      </c>
      <c r="V350" s="124"/>
    </row>
    <row r="351" spans="1:33" s="126" customFormat="1" ht="17.100000000000001" customHeight="1">
      <c r="A351" s="124">
        <v>3</v>
      </c>
      <c r="B351" s="290" t="s">
        <v>791</v>
      </c>
      <c r="C351" s="293" t="s">
        <v>792</v>
      </c>
      <c r="D351" s="224">
        <v>1</v>
      </c>
      <c r="E351" s="230">
        <v>1.4</v>
      </c>
      <c r="F351" s="231">
        <f>E351*D351</f>
        <v>1.4</v>
      </c>
      <c r="G351" s="252">
        <v>10.8</v>
      </c>
      <c r="H351" s="231">
        <f>G351*2.54</f>
        <v>27.432000000000002</v>
      </c>
      <c r="I351" s="151">
        <f>F351*H351</f>
        <v>38.404800000000002</v>
      </c>
      <c r="J351" s="335">
        <v>0</v>
      </c>
      <c r="K351" s="151">
        <f>J351*D351</f>
        <v>0</v>
      </c>
      <c r="L351" s="254">
        <f>G351</f>
        <v>10.8</v>
      </c>
      <c r="M351" s="231">
        <f>L351*2.54</f>
        <v>27.432000000000002</v>
      </c>
      <c r="N351" s="115">
        <f>K351*M351</f>
        <v>0</v>
      </c>
      <c r="O351" s="233">
        <v>-0.81</v>
      </c>
      <c r="P351" s="231">
        <f>O351*2.54</f>
        <v>-2.0574000000000003</v>
      </c>
      <c r="Q351" s="151">
        <f>F351*P351</f>
        <v>-2.8803600000000005</v>
      </c>
      <c r="R351" s="231">
        <f>K351*P351</f>
        <v>0</v>
      </c>
      <c r="V351" s="124"/>
    </row>
    <row r="352" spans="1:33" s="344" customFormat="1" ht="17.100000000000001" customHeight="1">
      <c r="A352" s="124">
        <v>3</v>
      </c>
      <c r="B352" s="290" t="s">
        <v>793</v>
      </c>
      <c r="C352" s="251">
        <v>52244</v>
      </c>
      <c r="D352" s="224">
        <v>1</v>
      </c>
      <c r="E352" s="230">
        <v>22.6</v>
      </c>
      <c r="F352" s="231">
        <f>E352*D352</f>
        <v>22.6</v>
      </c>
      <c r="G352" s="252">
        <v>15.33</v>
      </c>
      <c r="H352" s="231">
        <f>G352*2.54</f>
        <v>38.938200000000002</v>
      </c>
      <c r="I352" s="151">
        <f>F352*H352</f>
        <v>880.00332000000014</v>
      </c>
      <c r="J352" s="335">
        <v>0</v>
      </c>
      <c r="K352" s="151">
        <f>J352*D352</f>
        <v>0</v>
      </c>
      <c r="L352" s="254">
        <f>G352</f>
        <v>15.33</v>
      </c>
      <c r="M352" s="231">
        <f>L352*2.54</f>
        <v>38.938200000000002</v>
      </c>
      <c r="N352" s="115">
        <f>K352*M352</f>
        <v>0</v>
      </c>
      <c r="O352" s="233">
        <v>0.38</v>
      </c>
      <c r="P352" s="231">
        <f>O352*2.54</f>
        <v>0.96520000000000006</v>
      </c>
      <c r="Q352" s="151">
        <f>F352*P352</f>
        <v>21.813520000000004</v>
      </c>
      <c r="R352" s="231">
        <f>K352*P352</f>
        <v>0</v>
      </c>
      <c r="V352" s="272"/>
    </row>
    <row r="353" spans="1:18">
      <c r="A353" s="3"/>
      <c r="B353" s="448"/>
      <c r="C353" s="3"/>
      <c r="D353" s="3"/>
      <c r="E353" s="449"/>
      <c r="F353" s="3"/>
      <c r="G353" s="449"/>
      <c r="H353" s="3"/>
      <c r="I353" s="3"/>
      <c r="J353" s="449"/>
      <c r="K353" s="3"/>
      <c r="L353" s="449"/>
      <c r="M353" s="448"/>
      <c r="N353" s="3"/>
      <c r="O353" s="3"/>
      <c r="P353" s="3"/>
      <c r="Q353" s="3"/>
      <c r="R353" s="3"/>
    </row>
    <row r="355" spans="1:18">
      <c r="E355" s="451"/>
      <c r="K355" s="450"/>
    </row>
    <row r="357" spans="1:18">
      <c r="J357" s="451"/>
    </row>
  </sheetData>
  <scenarios current="3" show="3">
    <scenario name="CTSting" locked="1" count="4" user="SC" comment="Created by James Osse on 9/9/97_x000a_Modified by James Osse on 9/10/97">
      <inputCells r="D291" val="1"/>
      <inputCells r="E291" val="225"/>
      <inputCells r="H22" val="1.024"/>
      <inputCells r="J291" val="83.3333333333333"/>
    </scenario>
    <scenario name="neutral trim _1" locked="1" count="3" user="SC" comment="Created by James Osse on 9/10/97_x000a_Modified by Jim Osse on 9/11/97">
      <inputCells r="C20" val="0.66"/>
      <inputCells r="C27" val="0.5"/>
      <inputCells r="H22" val="1.024"/>
    </scenario>
    <scenario name="surface" locked="1" count="3" user="SC" comment="Created by James Osse on 9/10/97_x000a_Modified by Jim Osse on 9/11/97">
      <inputCells r="C20" val="0"/>
      <inputCells r="C27" val="0"/>
      <inputCells r="H22" val="1.024"/>
    </scenario>
    <scenario name="Tank Trim _2" locked="1" count="5" user="SC" comment="Created by Jim Osse on 9/18/97_x000a_Modified by Jim Osse on 9/18/97">
      <inputCells r="C9" val="52377"/>
      <inputCells r="C19" val="-238.399253923504"/>
      <inputCells r="C20" val="0.666"/>
      <inputCells r="C180" val="1500"/>
      <inputCells r="H22" val="1.02663"/>
    </scenario>
  </scenarios>
  <phoneticPr fontId="63" type="noConversion"/>
  <printOptions horizontalCentered="1" gridLines="1"/>
  <pageMargins left="0.5" right="0.5" top="0.60972222222222228" bottom="0.65" header="0.51180555555555551" footer="0"/>
  <headerFooter alignWithMargins="0">
    <oddFooter>&amp;C&amp;F&amp;RPage &amp;P of &amp;N</oddFooter>
  </headerFooter>
  <legacyDrawing r:id="rId1"/>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R42"/>
  <sheetViews>
    <sheetView workbookViewId="0">
      <selection activeCell="O50" sqref="O50"/>
    </sheetView>
  </sheetViews>
  <sheetFormatPr defaultColWidth="8.85546875" defaultRowHeight="12.75"/>
  <cols>
    <col min="1" max="1" width="20.42578125" customWidth="1"/>
    <col min="2" max="2" width="8.85546875" customWidth="1"/>
    <col min="3" max="3" width="9.28515625" customWidth="1"/>
  </cols>
  <sheetData>
    <row r="1" spans="1:18">
      <c r="A1" s="452" t="s">
        <v>794</v>
      </c>
      <c r="B1" s="453" t="s">
        <v>795</v>
      </c>
      <c r="C1" s="454">
        <f>Cal!D1</f>
        <v>523</v>
      </c>
      <c r="F1" s="19"/>
      <c r="G1" s="455"/>
    </row>
    <row r="2" spans="1:18">
      <c r="B2" s="19" t="s">
        <v>796</v>
      </c>
      <c r="C2" s="91">
        <v>41326</v>
      </c>
      <c r="E2" s="453" t="s">
        <v>797</v>
      </c>
      <c r="F2" s="38" t="s">
        <v>112</v>
      </c>
    </row>
    <row r="3" spans="1:18">
      <c r="B3" s="19" t="s">
        <v>798</v>
      </c>
      <c r="C3" s="456">
        <v>0.43194444444444446</v>
      </c>
      <c r="E3" s="453" t="s">
        <v>799</v>
      </c>
      <c r="F3" s="457">
        <v>1.0275000000000001</v>
      </c>
      <c r="I3" s="14"/>
      <c r="J3" s="458"/>
    </row>
    <row r="4" spans="1:18">
      <c r="B4" s="19" t="s">
        <v>800</v>
      </c>
      <c r="C4" s="459" t="s">
        <v>111</v>
      </c>
      <c r="E4" s="453" t="s">
        <v>801</v>
      </c>
      <c r="F4" s="457">
        <v>250</v>
      </c>
      <c r="G4" s="452" t="s">
        <v>247</v>
      </c>
      <c r="I4" s="458"/>
      <c r="J4" s="458"/>
      <c r="K4" s="460"/>
      <c r="L4" s="461"/>
      <c r="M4" s="461"/>
    </row>
    <row r="5" spans="1:18">
      <c r="A5" s="58"/>
      <c r="B5" s="462"/>
      <c r="C5" s="1"/>
      <c r="E5" s="58"/>
      <c r="I5" s="14"/>
      <c r="J5" s="14"/>
      <c r="K5" s="14"/>
    </row>
    <row r="6" spans="1:18">
      <c r="A6" s="18"/>
      <c r="B6" s="463" t="s">
        <v>802</v>
      </c>
      <c r="C6" s="463" t="s">
        <v>243</v>
      </c>
      <c r="D6" s="464">
        <v>122.8</v>
      </c>
      <c r="E6" s="465"/>
      <c r="F6" s="466"/>
      <c r="G6" s="466"/>
      <c r="H6" s="466"/>
      <c r="I6" s="466"/>
      <c r="J6" s="466"/>
      <c r="K6" s="466"/>
      <c r="L6" s="466"/>
      <c r="M6" s="463" t="s">
        <v>243</v>
      </c>
      <c r="R6" s="19"/>
    </row>
    <row r="7" spans="1:18">
      <c r="A7" s="454" t="s">
        <v>301</v>
      </c>
      <c r="B7" s="1" t="s">
        <v>397</v>
      </c>
      <c r="C7" s="1" t="s">
        <v>803</v>
      </c>
      <c r="M7" s="1" t="s">
        <v>643</v>
      </c>
      <c r="R7" s="19"/>
    </row>
    <row r="8" spans="1:18">
      <c r="A8" s="19" t="s">
        <v>644</v>
      </c>
      <c r="B8" s="467"/>
      <c r="C8" s="27" t="s">
        <v>645</v>
      </c>
      <c r="D8" s="27" t="s">
        <v>646</v>
      </c>
      <c r="E8" s="27" t="s">
        <v>647</v>
      </c>
      <c r="F8" s="27" t="s">
        <v>648</v>
      </c>
      <c r="G8" s="27" t="s">
        <v>649</v>
      </c>
      <c r="H8" s="27" t="s">
        <v>650</v>
      </c>
      <c r="I8" s="27" t="s">
        <v>651</v>
      </c>
      <c r="J8" s="27" t="s">
        <v>652</v>
      </c>
      <c r="K8" s="27" t="s">
        <v>653</v>
      </c>
      <c r="L8" s="27" t="s">
        <v>654</v>
      </c>
      <c r="M8" s="41"/>
      <c r="P8" s="461"/>
      <c r="R8" s="19"/>
    </row>
    <row r="9" spans="1:18">
      <c r="A9" s="19" t="s">
        <v>655</v>
      </c>
      <c r="B9" s="468">
        <f>Trim!F65</f>
        <v>247.6</v>
      </c>
      <c r="C9" s="464">
        <v>247.6</v>
      </c>
      <c r="E9" s="469"/>
      <c r="F9" s="469"/>
      <c r="G9" s="469"/>
      <c r="H9" s="469"/>
      <c r="I9" s="469"/>
      <c r="J9" s="469"/>
      <c r="K9" s="469"/>
      <c r="L9" s="469"/>
      <c r="M9" s="470">
        <f>SUM(C9:I9)</f>
        <v>247.6</v>
      </c>
    </row>
    <row r="10" spans="1:18">
      <c r="A10" s="19" t="s">
        <v>656</v>
      </c>
      <c r="B10" s="469">
        <f>Trim!F66</f>
        <v>0</v>
      </c>
      <c r="C10" s="471"/>
      <c r="D10" s="472"/>
      <c r="E10" s="472"/>
      <c r="F10" s="472"/>
      <c r="G10" s="472"/>
      <c r="H10" s="472"/>
      <c r="I10" s="472"/>
      <c r="J10" s="472"/>
      <c r="K10" s="472"/>
      <c r="L10" s="472"/>
      <c r="M10" s="470">
        <f>SUM(C10:I10)</f>
        <v>0</v>
      </c>
    </row>
    <row r="11" spans="1:18">
      <c r="A11" s="19" t="s">
        <v>656</v>
      </c>
      <c r="B11" s="469">
        <v>1</v>
      </c>
      <c r="C11" s="471">
        <f>Trim!F68</f>
        <v>15.7</v>
      </c>
      <c r="D11" s="450"/>
      <c r="E11" s="450"/>
      <c r="F11" s="450"/>
      <c r="G11" s="450"/>
      <c r="H11" s="450"/>
      <c r="I11" s="450"/>
      <c r="J11" s="450"/>
      <c r="K11" s="450"/>
      <c r="L11" s="450"/>
      <c r="M11" s="470">
        <f>SUM(C11:I11)</f>
        <v>15.7</v>
      </c>
    </row>
    <row r="12" spans="1:18">
      <c r="B12" s="1"/>
      <c r="H12" s="473" t="s">
        <v>657</v>
      </c>
      <c r="I12" s="474"/>
      <c r="J12" s="592"/>
      <c r="K12" s="593" t="s">
        <v>58</v>
      </c>
      <c r="L12" s="593"/>
      <c r="M12" s="594"/>
    </row>
    <row r="13" spans="1:18">
      <c r="A13" s="19"/>
      <c r="B13" s="450"/>
      <c r="C13" s="450"/>
      <c r="D13" s="476"/>
      <c r="E13" s="450"/>
      <c r="F13" s="450"/>
      <c r="G13" s="450"/>
      <c r="H13" s="450"/>
      <c r="I13" s="450"/>
      <c r="J13" s="450"/>
      <c r="K13" s="450"/>
      <c r="L13" s="450"/>
      <c r="M13" s="476"/>
    </row>
    <row r="14" spans="1:18" ht="27" customHeight="1">
      <c r="A14" s="477" t="s">
        <v>658</v>
      </c>
      <c r="B14" s="478"/>
      <c r="C14" s="479" t="s">
        <v>659</v>
      </c>
      <c r="F14" s="480"/>
      <c r="G14" s="481" t="s">
        <v>660</v>
      </c>
      <c r="H14" s="482"/>
      <c r="I14" s="482"/>
      <c r="K14" s="483" t="s">
        <v>661</v>
      </c>
      <c r="L14" s="18"/>
      <c r="M14" s="484"/>
    </row>
    <row r="15" spans="1:18">
      <c r="A15" s="52" t="s">
        <v>662</v>
      </c>
      <c r="B15" s="485">
        <f>Trim!F73</f>
        <v>789.2</v>
      </c>
      <c r="C15" s="469"/>
      <c r="D15" s="41"/>
      <c r="E15" s="464"/>
      <c r="F15">
        <v>113.2</v>
      </c>
      <c r="G15" s="486">
        <v>167.3</v>
      </c>
      <c r="H15" s="464">
        <v>163.69999999999999</v>
      </c>
      <c r="I15" s="464">
        <v>181</v>
      </c>
      <c r="J15" s="464">
        <v>164</v>
      </c>
      <c r="K15" s="469"/>
      <c r="L15" s="487"/>
      <c r="M15" s="470">
        <f t="shared" ref="M15:M28" si="0">SUM(C15:L15)</f>
        <v>789.2</v>
      </c>
      <c r="N15" s="461"/>
    </row>
    <row r="16" spans="1:18">
      <c r="A16" s="19" t="s">
        <v>663</v>
      </c>
      <c r="B16" s="469"/>
      <c r="C16" s="469"/>
      <c r="D16" s="41"/>
      <c r="E16" s="464"/>
      <c r="F16" s="480">
        <v>1</v>
      </c>
      <c r="G16" s="486">
        <v>1</v>
      </c>
      <c r="H16" s="464">
        <v>1</v>
      </c>
      <c r="I16" s="464">
        <v>1</v>
      </c>
      <c r="J16" s="464">
        <v>1</v>
      </c>
      <c r="K16" s="464"/>
      <c r="L16" s="469"/>
      <c r="M16" s="470">
        <f t="shared" si="0"/>
        <v>5</v>
      </c>
    </row>
    <row r="17" spans="1:13">
      <c r="A17" s="19" t="s">
        <v>664</v>
      </c>
      <c r="B17" s="469">
        <f>Trim!F74</f>
        <v>107.1</v>
      </c>
      <c r="C17" s="469"/>
      <c r="D17" s="41"/>
      <c r="E17" s="488"/>
      <c r="F17" s="489"/>
      <c r="G17" s="464">
        <v>107.1</v>
      </c>
      <c r="I17" s="464"/>
      <c r="J17" s="488"/>
      <c r="K17" s="489"/>
      <c r="L17" s="469"/>
      <c r="M17" s="470">
        <f t="shared" si="0"/>
        <v>107.1</v>
      </c>
    </row>
    <row r="18" spans="1:13">
      <c r="A18" s="52" t="s">
        <v>665</v>
      </c>
      <c r="B18" s="485">
        <f>Trim!F76</f>
        <v>0</v>
      </c>
      <c r="C18" s="469"/>
      <c r="D18" s="469"/>
      <c r="E18" s="41"/>
      <c r="F18" s="27"/>
      <c r="G18" s="464"/>
      <c r="H18" s="464"/>
      <c r="I18" s="464"/>
      <c r="J18" s="464"/>
      <c r="K18" s="41"/>
      <c r="L18" s="469"/>
      <c r="M18" s="470">
        <f t="shared" si="0"/>
        <v>0</v>
      </c>
    </row>
    <row r="19" spans="1:13">
      <c r="A19" s="19" t="s">
        <v>663</v>
      </c>
      <c r="B19" s="469"/>
      <c r="C19" s="485"/>
      <c r="D19" s="490"/>
      <c r="E19" s="469"/>
      <c r="F19" s="41"/>
      <c r="G19" s="464"/>
      <c r="H19" s="464"/>
      <c r="I19" s="464"/>
      <c r="J19" s="488"/>
      <c r="K19" s="464"/>
      <c r="L19" s="469"/>
      <c r="M19" s="470">
        <f t="shared" si="0"/>
        <v>0</v>
      </c>
    </row>
    <row r="20" spans="1:13">
      <c r="A20" s="19" t="s">
        <v>664</v>
      </c>
      <c r="B20" s="469"/>
      <c r="C20" s="469"/>
      <c r="D20" s="469"/>
      <c r="E20" s="469"/>
      <c r="F20" s="464"/>
      <c r="G20" s="464"/>
      <c r="H20" s="464"/>
      <c r="I20" s="488"/>
      <c r="J20" s="464"/>
      <c r="K20" s="464"/>
      <c r="L20" s="469"/>
      <c r="M20" s="470">
        <f t="shared" si="0"/>
        <v>0</v>
      </c>
    </row>
    <row r="21" spans="1:13">
      <c r="A21" s="52" t="s">
        <v>666</v>
      </c>
      <c r="B21" s="485">
        <f>Trim!F77</f>
        <v>0</v>
      </c>
      <c r="C21" s="469"/>
      <c r="D21" s="469"/>
      <c r="E21" s="469"/>
      <c r="F21" s="464"/>
      <c r="G21" s="464"/>
      <c r="H21" s="464"/>
      <c r="I21" s="464"/>
      <c r="J21" s="464"/>
      <c r="K21" s="464"/>
      <c r="L21" s="469"/>
      <c r="M21" s="470">
        <f t="shared" si="0"/>
        <v>0</v>
      </c>
    </row>
    <row r="22" spans="1:13">
      <c r="A22" s="19" t="s">
        <v>663</v>
      </c>
      <c r="B22" s="469"/>
      <c r="C22" s="469"/>
      <c r="D22" s="490"/>
      <c r="E22" s="469"/>
      <c r="F22" s="464"/>
      <c r="G22" s="464"/>
      <c r="H22" s="464"/>
      <c r="I22" s="488"/>
      <c r="J22" s="464"/>
      <c r="K22" s="464"/>
      <c r="L22" s="469"/>
      <c r="M22" s="470">
        <f t="shared" si="0"/>
        <v>0</v>
      </c>
    </row>
    <row r="23" spans="1:13">
      <c r="A23" s="19" t="s">
        <v>664</v>
      </c>
      <c r="B23" s="469">
        <f>Trim!F78</f>
        <v>0</v>
      </c>
      <c r="C23" s="469"/>
      <c r="D23" s="469"/>
      <c r="E23" s="469"/>
      <c r="F23" s="464"/>
      <c r="G23" s="464"/>
      <c r="H23" s="488"/>
      <c r="I23" s="464"/>
      <c r="J23" s="464"/>
      <c r="K23" s="464"/>
      <c r="L23" s="469"/>
      <c r="M23" s="470">
        <f t="shared" si="0"/>
        <v>0</v>
      </c>
    </row>
    <row r="24" spans="1:13">
      <c r="A24" s="52" t="s">
        <v>667</v>
      </c>
      <c r="B24" s="485">
        <f>Trim!F79</f>
        <v>0</v>
      </c>
      <c r="C24" s="469"/>
      <c r="D24" s="469"/>
      <c r="E24" s="464"/>
      <c r="F24" s="464"/>
      <c r="G24" s="464"/>
      <c r="H24" s="464"/>
      <c r="I24" s="464"/>
      <c r="J24" s="464"/>
      <c r="K24" s="464"/>
      <c r="L24" s="469"/>
      <c r="M24" s="470">
        <f t="shared" si="0"/>
        <v>0</v>
      </c>
    </row>
    <row r="25" spans="1:13">
      <c r="A25" s="19" t="s">
        <v>663</v>
      </c>
      <c r="B25" s="469"/>
      <c r="C25" s="469"/>
      <c r="D25" s="469"/>
      <c r="E25" s="469"/>
      <c r="F25" s="469"/>
      <c r="G25" s="469"/>
      <c r="H25" s="469"/>
      <c r="I25" s="464"/>
      <c r="J25" s="464"/>
      <c r="K25" s="469"/>
      <c r="L25" s="469"/>
      <c r="M25" s="470">
        <f t="shared" si="0"/>
        <v>0</v>
      </c>
    </row>
    <row r="26" spans="1:13">
      <c r="A26" s="19" t="s">
        <v>664</v>
      </c>
      <c r="B26" s="469">
        <f>Trim!F80</f>
        <v>0</v>
      </c>
      <c r="C26" s="469"/>
      <c r="D26" s="41"/>
      <c r="E26" s="470"/>
      <c r="F26" s="469"/>
      <c r="G26" s="470"/>
      <c r="H26" s="470"/>
      <c r="I26" s="470"/>
      <c r="J26" s="470"/>
      <c r="K26" s="470"/>
      <c r="L26" s="470"/>
      <c r="M26" s="470">
        <f t="shared" si="0"/>
        <v>0</v>
      </c>
    </row>
    <row r="27" spans="1:13">
      <c r="A27" s="19" t="s">
        <v>668</v>
      </c>
      <c r="B27" s="485">
        <f>Trim!F82</f>
        <v>30.1</v>
      </c>
      <c r="C27" s="469"/>
      <c r="D27" s="469"/>
      <c r="E27" s="491"/>
      <c r="F27" s="41"/>
      <c r="G27" s="464">
        <v>30.1</v>
      </c>
      <c r="I27" s="464"/>
      <c r="J27" s="470"/>
      <c r="K27" s="470"/>
      <c r="L27" s="470"/>
      <c r="M27" s="470">
        <f t="shared" si="0"/>
        <v>30.1</v>
      </c>
    </row>
    <row r="28" spans="1:13">
      <c r="A28" s="48" t="s">
        <v>669</v>
      </c>
      <c r="B28" s="469">
        <f>Trim!F83</f>
        <v>15</v>
      </c>
      <c r="C28" s="469"/>
      <c r="D28" s="469"/>
      <c r="E28" s="470"/>
      <c r="F28" s="469"/>
      <c r="G28" s="464">
        <v>15</v>
      </c>
      <c r="I28" s="470"/>
      <c r="J28" s="470"/>
      <c r="K28" s="470"/>
      <c r="L28" s="470"/>
      <c r="M28" s="470">
        <f t="shared" si="0"/>
        <v>15</v>
      </c>
    </row>
    <row r="29" spans="1:13">
      <c r="A29" s="48" t="s">
        <v>670</v>
      </c>
      <c r="B29" s="469">
        <f>Trim!F81</f>
        <v>0</v>
      </c>
      <c r="C29" s="469"/>
      <c r="D29" s="469"/>
      <c r="E29" s="470"/>
      <c r="F29" s="469"/>
      <c r="G29" s="469"/>
      <c r="H29" s="470"/>
      <c r="I29" s="470"/>
      <c r="J29" s="470"/>
      <c r="K29" s="470"/>
      <c r="L29" s="470"/>
      <c r="M29" s="470">
        <f>M16+M19+M22+M25</f>
        <v>5</v>
      </c>
    </row>
    <row r="30" spans="1:13">
      <c r="A30" s="48"/>
      <c r="B30" s="450"/>
      <c r="C30" s="450"/>
      <c r="D30" s="450"/>
      <c r="E30" s="476"/>
      <c r="F30" s="450"/>
      <c r="G30" s="450"/>
      <c r="H30" s="476"/>
      <c r="I30" s="476"/>
      <c r="J30" s="476"/>
      <c r="K30" s="476"/>
      <c r="L30" s="476"/>
      <c r="M30" s="476">
        <f>SUM(M15:M29)</f>
        <v>951.40000000000009</v>
      </c>
    </row>
    <row r="31" spans="1:13">
      <c r="B31" s="1"/>
      <c r="H31" s="473" t="s">
        <v>671</v>
      </c>
      <c r="I31" s="475"/>
      <c r="J31" s="592"/>
      <c r="K31" s="593" t="s">
        <v>57</v>
      </c>
      <c r="L31" s="593"/>
      <c r="M31" s="594"/>
    </row>
    <row r="32" spans="1:13">
      <c r="B32" s="1"/>
      <c r="H32" s="473"/>
      <c r="I32" s="474"/>
      <c r="J32" s="474"/>
      <c r="K32" s="474"/>
      <c r="L32" s="474"/>
      <c r="M32" s="466"/>
    </row>
    <row r="33" spans="1:14" ht="25.5" customHeight="1">
      <c r="A33" s="477" t="s">
        <v>672</v>
      </c>
      <c r="C33" s="464"/>
      <c r="D33" s="464"/>
      <c r="E33" s="470"/>
      <c r="F33" s="464"/>
      <c r="G33" s="27"/>
      <c r="H33" s="41"/>
      <c r="I33" s="41"/>
      <c r="J33" s="41"/>
      <c r="K33" s="470"/>
      <c r="L33" s="470"/>
      <c r="M33" s="470">
        <f>SUM(C33:L33)</f>
        <v>0</v>
      </c>
    </row>
    <row r="34" spans="1:14">
      <c r="A34" s="19" t="s">
        <v>663</v>
      </c>
      <c r="C34" s="464"/>
      <c r="D34" s="464"/>
      <c r="E34" s="470"/>
      <c r="F34" s="464"/>
      <c r="G34" s="469"/>
      <c r="H34" s="470"/>
      <c r="I34" s="41"/>
      <c r="J34" s="41"/>
      <c r="K34" s="470"/>
      <c r="L34" s="470"/>
      <c r="M34" s="470">
        <f>SUM(C34:L34)</f>
        <v>0</v>
      </c>
    </row>
    <row r="35" spans="1:14">
      <c r="A35" s="19" t="s">
        <v>664</v>
      </c>
      <c r="B35" s="469">
        <f>Trim!E84</f>
        <v>0</v>
      </c>
      <c r="C35" s="1"/>
      <c r="F35" s="14"/>
      <c r="G35" s="469"/>
      <c r="H35" s="14"/>
      <c r="I35" s="14"/>
      <c r="J35" s="14"/>
      <c r="M35" s="470">
        <f>SUM(C35:L35)</f>
        <v>0</v>
      </c>
      <c r="N35" s="461"/>
    </row>
    <row r="36" spans="1:14">
      <c r="A36" s="15" t="s">
        <v>668</v>
      </c>
      <c r="B36" s="469">
        <f>Trim!E85</f>
        <v>0</v>
      </c>
      <c r="G36" s="492"/>
      <c r="M36" s="470">
        <f>SUM(C36:L36)</f>
        <v>0</v>
      </c>
    </row>
    <row r="37" spans="1:14">
      <c r="A37" t="s">
        <v>673</v>
      </c>
      <c r="K37" t="s">
        <v>674</v>
      </c>
      <c r="M37" s="461">
        <f>SUM(M15:M28)</f>
        <v>946.40000000000009</v>
      </c>
    </row>
    <row r="38" spans="1:14">
      <c r="B38" s="18"/>
    </row>
    <row r="39" spans="1:14">
      <c r="B39" s="22"/>
      <c r="C39" s="1"/>
      <c r="L39" s="19" t="s">
        <v>675</v>
      </c>
      <c r="M39" s="461">
        <f>SUM(M9:M10)+M37</f>
        <v>1194</v>
      </c>
    </row>
    <row r="40" spans="1:14">
      <c r="A40" s="18"/>
      <c r="B40" s="28"/>
      <c r="C40" s="28"/>
      <c r="D40" s="18"/>
      <c r="E40" s="18"/>
    </row>
    <row r="41" spans="1:14">
      <c r="B41" s="452" t="s">
        <v>676</v>
      </c>
      <c r="D41" s="1"/>
      <c r="E41" s="1"/>
      <c r="G41" s="493"/>
      <c r="H41" s="494"/>
      <c r="I41" s="495"/>
      <c r="J41" s="595"/>
      <c r="K41" s="595"/>
      <c r="L41" s="595"/>
      <c r="M41" s="496"/>
      <c r="N41" s="508"/>
    </row>
    <row r="42" spans="1:14">
      <c r="B42" s="1"/>
      <c r="C42" s="1"/>
      <c r="H42" s="494"/>
      <c r="I42" s="497"/>
      <c r="J42" s="596"/>
      <c r="K42" s="635" t="s">
        <v>59</v>
      </c>
      <c r="L42" s="596"/>
      <c r="M42" s="498"/>
    </row>
  </sheetData>
  <phoneticPr fontId="63" type="noConversion"/>
  <pageMargins left="0.74791666666666667" right="0.74791666666666667" top="0.98402777777777772" bottom="0.98402777777777772" header="0.51180555555555551" footer="0.51180555555555551"/>
  <headerFooter alignWithMargins="0">
    <oddFooter>&amp;C&amp;F&amp;R&amp;P of &amp;N</oddFooter>
  </headerFooter>
</worksheet>
</file>

<file path=xl/worksheets/sheet4.xml><?xml version="1.0" encoding="utf-8"?>
<worksheet xmlns="http://schemas.openxmlformats.org/spreadsheetml/2006/main" xmlns:r="http://schemas.openxmlformats.org/officeDocument/2006/relationships">
  <dimension ref="A1:I61"/>
  <sheetViews>
    <sheetView workbookViewId="0">
      <selection activeCell="C21" sqref="C21"/>
    </sheetView>
  </sheetViews>
  <sheetFormatPr defaultColWidth="10.85546875" defaultRowHeight="15"/>
  <cols>
    <col min="1" max="1" width="17.7109375" style="8" customWidth="1"/>
    <col min="2" max="2" width="8.7109375" style="8" customWidth="1"/>
    <col min="3" max="3" width="12.140625" style="8" customWidth="1"/>
    <col min="4" max="4" width="13.28515625" style="8" customWidth="1"/>
    <col min="5" max="16384" width="10.85546875" style="8"/>
  </cols>
  <sheetData>
    <row r="1" spans="1:8" ht="18.75" customHeight="1">
      <c r="A1" s="218" t="s">
        <v>546</v>
      </c>
      <c r="C1" s="234" t="s">
        <v>340</v>
      </c>
      <c r="D1" s="147">
        <f>Cal!D1</f>
        <v>523</v>
      </c>
      <c r="F1" s="499"/>
      <c r="G1" s="500"/>
    </row>
    <row r="2" spans="1:8" ht="17.25" customHeight="1">
      <c r="A2" s="106"/>
      <c r="B2" s="6" t="s">
        <v>226</v>
      </c>
      <c r="C2" s="7">
        <f ca="1">NOW()</f>
        <v>41330.565204050923</v>
      </c>
      <c r="D2" s="6" t="s">
        <v>228</v>
      </c>
      <c r="E2" s="9">
        <f ca="1">NOW()</f>
        <v>41330.565204050923</v>
      </c>
    </row>
    <row r="3" spans="1:8" ht="12.75" customHeight="1">
      <c r="A3" s="106"/>
      <c r="B3" s="6"/>
      <c r="C3" s="7"/>
      <c r="D3" s="6"/>
      <c r="E3" s="9"/>
    </row>
    <row r="4" spans="1:8" ht="12.75" customHeight="1">
      <c r="B4" s="56" t="s">
        <v>547</v>
      </c>
      <c r="C4" s="500"/>
      <c r="D4" s="462" t="s">
        <v>548</v>
      </c>
      <c r="F4" s="501"/>
      <c r="G4" s="500"/>
      <c r="H4" s="502"/>
    </row>
    <row r="5" spans="1:8" ht="12.75" customHeight="1">
      <c r="A5" s="503" t="s">
        <v>549</v>
      </c>
      <c r="B5" s="500">
        <f>1/B6</f>
        <v>-4.0767073250277219</v>
      </c>
      <c r="C5" s="500" t="s">
        <v>550</v>
      </c>
      <c r="D5" s="500" t="s">
        <v>551</v>
      </c>
      <c r="E5" s="500" t="s">
        <v>552</v>
      </c>
      <c r="F5" s="501"/>
      <c r="G5" s="500"/>
      <c r="H5" s="502"/>
    </row>
    <row r="6" spans="1:8" ht="12.75" customHeight="1">
      <c r="A6" s="500"/>
      <c r="B6" s="500">
        <v>-0.24529599999999999</v>
      </c>
      <c r="C6" s="500" t="s">
        <v>553</v>
      </c>
      <c r="D6" s="500" t="s">
        <v>554</v>
      </c>
      <c r="E6" s="500"/>
    </row>
    <row r="7" spans="1:8" ht="12.75" customHeight="1"/>
    <row r="8" spans="1:8" s="500" customFormat="1" ht="12.75" customHeight="1">
      <c r="A8" s="504" t="s">
        <v>555</v>
      </c>
    </row>
    <row r="9" spans="1:8" s="500" customFormat="1" ht="12.75" customHeight="1">
      <c r="A9" s="500" t="s">
        <v>556</v>
      </c>
      <c r="B9" s="505">
        <v>22.698</v>
      </c>
      <c r="C9" s="500" t="s">
        <v>557</v>
      </c>
      <c r="D9" s="500" t="s">
        <v>558</v>
      </c>
    </row>
    <row r="10" spans="1:8" s="500" customFormat="1" ht="12.75" customHeight="1">
      <c r="A10" s="500" t="s">
        <v>559</v>
      </c>
      <c r="B10" s="505">
        <v>36.131</v>
      </c>
      <c r="C10" s="500" t="s">
        <v>560</v>
      </c>
      <c r="D10" s="500" t="s">
        <v>558</v>
      </c>
    </row>
    <row r="11" spans="1:8" s="500" customFormat="1" ht="12.75" customHeight="1">
      <c r="A11" s="500" t="s">
        <v>561</v>
      </c>
      <c r="B11" s="506">
        <f>B10*D11</f>
        <v>34.92267543011792</v>
      </c>
      <c r="C11" s="500" t="s">
        <v>560</v>
      </c>
      <c r="D11" s="500">
        <f>35/36.211</f>
        <v>0.96655712352600043</v>
      </c>
      <c r="E11" s="500" t="s">
        <v>562</v>
      </c>
    </row>
    <row r="12" spans="1:8" s="500" customFormat="1" ht="12.75" customHeight="1">
      <c r="A12" s="500" t="s">
        <v>563</v>
      </c>
      <c r="B12" s="507">
        <v>1.0275000000000001</v>
      </c>
      <c r="C12" s="500" t="s">
        <v>564</v>
      </c>
      <c r="D12" s="500" t="s">
        <v>565</v>
      </c>
    </row>
    <row r="13" spans="1:8" s="500" customFormat="1" ht="12.75" customHeight="1">
      <c r="A13" s="500" t="s">
        <v>566</v>
      </c>
      <c r="B13" s="508">
        <v>51923</v>
      </c>
      <c r="C13" s="500" t="s">
        <v>397</v>
      </c>
      <c r="D13" s="500" t="s">
        <v>697</v>
      </c>
    </row>
    <row r="14" spans="1:8" s="500" customFormat="1" ht="12.75" customHeight="1">
      <c r="A14" s="500" t="s">
        <v>698</v>
      </c>
      <c r="B14" s="509">
        <f>B13/B12</f>
        <v>50533.333333333328</v>
      </c>
      <c r="C14" s="500" t="s">
        <v>247</v>
      </c>
      <c r="D14" s="500" t="s">
        <v>699</v>
      </c>
    </row>
    <row r="15" spans="1:8" s="500" customFormat="1" ht="12.75" customHeight="1">
      <c r="A15" s="500" t="s">
        <v>700</v>
      </c>
      <c r="C15" s="508">
        <v>0</v>
      </c>
      <c r="D15" s="500" t="s">
        <v>247</v>
      </c>
    </row>
    <row r="16" spans="1:8" s="500" customFormat="1" ht="12.75" customHeight="1">
      <c r="A16" s="500" t="s">
        <v>701</v>
      </c>
      <c r="C16" s="508">
        <v>2709</v>
      </c>
      <c r="D16" s="500" t="s">
        <v>702</v>
      </c>
    </row>
    <row r="17" spans="1:9" s="500" customFormat="1" ht="12.75" customHeight="1">
      <c r="A17" s="509" t="s">
        <v>703</v>
      </c>
      <c r="B17" s="19" t="s">
        <v>704</v>
      </c>
      <c r="C17" s="19" t="s">
        <v>705</v>
      </c>
      <c r="D17" s="500" t="s">
        <v>706</v>
      </c>
    </row>
    <row r="18" spans="1:9" s="500" customFormat="1" ht="12.75" customHeight="1">
      <c r="A18" s="500" t="s">
        <v>707</v>
      </c>
      <c r="B18" s="509">
        <f>Cal!C40</f>
        <v>440</v>
      </c>
      <c r="C18" s="509">
        <f>(B18-B19)*B6</f>
        <v>556.57662399999992</v>
      </c>
      <c r="D18" s="509">
        <f>B14+C18</f>
        <v>51089.90995733333</v>
      </c>
      <c r="E18" s="500" t="s">
        <v>708</v>
      </c>
    </row>
    <row r="19" spans="1:9" s="500" customFormat="1" ht="12.75" customHeight="1">
      <c r="A19" s="500" t="s">
        <v>709</v>
      </c>
      <c r="B19" s="509">
        <f>C16+(C15*B5)</f>
        <v>2709</v>
      </c>
      <c r="C19" s="19" t="s">
        <v>710</v>
      </c>
      <c r="D19" s="509">
        <f>B14</f>
        <v>50533.333333333328</v>
      </c>
      <c r="E19" s="500" t="s">
        <v>247</v>
      </c>
    </row>
    <row r="20" spans="1:9" s="500" customFormat="1" ht="12.75" customHeight="1">
      <c r="A20" s="500" t="s">
        <v>711</v>
      </c>
      <c r="B20" s="509">
        <f>Cal!C41</f>
        <v>3960</v>
      </c>
      <c r="C20" s="509">
        <f>(B20-B19)*B6</f>
        <v>-306.865296</v>
      </c>
      <c r="D20" s="509">
        <f>B14+C20</f>
        <v>50226.468037333325</v>
      </c>
      <c r="E20" s="500" t="s">
        <v>712</v>
      </c>
    </row>
    <row r="21" spans="1:9" s="500" customFormat="1" ht="12.75" customHeight="1">
      <c r="A21" s="500" t="s">
        <v>713</v>
      </c>
      <c r="C21" s="510">
        <f>C18-C20</f>
        <v>863.44191999999998</v>
      </c>
    </row>
    <row r="22" spans="1:9" s="500" customFormat="1" ht="12.75" customHeight="1">
      <c r="C22" s="510"/>
    </row>
    <row r="23" spans="1:9" s="500" customFormat="1" ht="12.75" customHeight="1">
      <c r="C23" s="510"/>
    </row>
    <row r="24" spans="1:9" s="500" customFormat="1" ht="12.75" customHeight="1">
      <c r="A24"/>
      <c r="B24"/>
      <c r="C24"/>
      <c r="D24"/>
      <c r="E24"/>
    </row>
    <row r="25" spans="1:9" s="500" customFormat="1" ht="12.75" customHeight="1">
      <c r="A25" s="504" t="s">
        <v>728</v>
      </c>
      <c r="F25"/>
      <c r="G25"/>
      <c r="H25"/>
      <c r="I25"/>
    </row>
    <row r="26" spans="1:9" s="500" customFormat="1" ht="12.75" customHeight="1">
      <c r="A26" s="500" t="s">
        <v>729</v>
      </c>
      <c r="B26" s="508">
        <v>51859</v>
      </c>
      <c r="C26" s="500" t="s">
        <v>238</v>
      </c>
      <c r="D26" s="597" t="s">
        <v>113</v>
      </c>
      <c r="H26"/>
      <c r="I26"/>
    </row>
    <row r="27" spans="1:9" s="500" customFormat="1" ht="12.75" customHeight="1">
      <c r="A27" s="500" t="s">
        <v>730</v>
      </c>
      <c r="B27" s="511">
        <v>50542</v>
      </c>
      <c r="C27" s="500" t="s">
        <v>247</v>
      </c>
      <c r="D27" s="597" t="s">
        <v>114</v>
      </c>
      <c r="H27"/>
      <c r="I27"/>
    </row>
    <row r="28" spans="1:9" s="500" customFormat="1" ht="12.75" customHeight="1">
      <c r="A28" s="500" t="s">
        <v>731</v>
      </c>
      <c r="B28" s="509">
        <f>B27-C21</f>
        <v>49678.558080000003</v>
      </c>
      <c r="C28" s="500" t="s">
        <v>247</v>
      </c>
      <c r="D28" s="512"/>
      <c r="H28"/>
      <c r="I28"/>
    </row>
    <row r="29" spans="1:9" s="500" customFormat="1" ht="12.75" customHeight="1">
      <c r="A29" s="500" t="s">
        <v>732</v>
      </c>
      <c r="B29" s="513">
        <v>1.0275000000000001</v>
      </c>
      <c r="C29" s="500" t="s">
        <v>733</v>
      </c>
      <c r="D29" s="598" t="s">
        <v>115</v>
      </c>
      <c r="H29"/>
      <c r="I29"/>
    </row>
    <row r="30" spans="1:9" s="500" customFormat="1" ht="12.75" customHeight="1">
      <c r="A30" s="500" t="s">
        <v>734</v>
      </c>
      <c r="B30" s="511">
        <v>250</v>
      </c>
      <c r="C30" s="500" t="s">
        <v>247</v>
      </c>
      <c r="D30" s="598" t="s">
        <v>116</v>
      </c>
      <c r="H30"/>
      <c r="I30"/>
    </row>
    <row r="31" spans="1:9" s="500" customFormat="1" ht="12.75" customHeight="1">
      <c r="A31" s="500" t="s">
        <v>735</v>
      </c>
      <c r="B31" s="509">
        <f>B28+B30</f>
        <v>49928.558080000003</v>
      </c>
      <c r="C31" s="500" t="s">
        <v>247</v>
      </c>
      <c r="D31" s="500" t="s">
        <v>736</v>
      </c>
      <c r="E31" s="500">
        <v>11.295999999999999</v>
      </c>
      <c r="F31" s="500" t="s">
        <v>251</v>
      </c>
      <c r="H31"/>
      <c r="I31"/>
    </row>
    <row r="32" spans="1:9" s="500" customFormat="1" ht="12.75" customHeight="1">
      <c r="A32" s="452" t="s">
        <v>737</v>
      </c>
      <c r="B32" s="514">
        <f>(B29*B31-B26)/(1-(B29/11.296))</f>
        <v>-613.18251413046733</v>
      </c>
      <c r="C32" s="500" t="s">
        <v>238</v>
      </c>
      <c r="D32" s="500" t="s">
        <v>738</v>
      </c>
      <c r="E32" s="509">
        <f>B32/E31</f>
        <v>-54.28315457953854</v>
      </c>
      <c r="F32" s="500" t="s">
        <v>247</v>
      </c>
      <c r="G32" s="8"/>
    </row>
    <row r="33" spans="1:7" s="500" customFormat="1" ht="12.75" customHeight="1">
      <c r="A33" s="500" t="s">
        <v>739</v>
      </c>
      <c r="B33" s="509">
        <f>B26+B32</f>
        <v>51245.817485869535</v>
      </c>
      <c r="C33" s="500" t="s">
        <v>238</v>
      </c>
      <c r="G33" s="8"/>
    </row>
    <row r="34" spans="1:7" s="500" customFormat="1" ht="12.75" customHeight="1">
      <c r="A34" s="500" t="s">
        <v>740</v>
      </c>
      <c r="B34" s="509">
        <f>B27+B32/E31</f>
        <v>50487.716845420458</v>
      </c>
      <c r="C34" s="500" t="s">
        <v>247</v>
      </c>
    </row>
    <row r="35" spans="1:7" s="500" customFormat="1" ht="12.75" customHeight="1"/>
    <row r="36" spans="1:7" s="500" customFormat="1" ht="12.75" customHeight="1">
      <c r="A36" s="56" t="s">
        <v>741</v>
      </c>
      <c r="B36" s="8"/>
      <c r="C36" s="8"/>
      <c r="E36" s="8"/>
    </row>
    <row r="37" spans="1:7" s="500" customFormat="1" ht="12.75" customHeight="1">
      <c r="A37" s="509" t="s">
        <v>703</v>
      </c>
      <c r="B37" s="19" t="s">
        <v>704</v>
      </c>
      <c r="C37" s="19" t="s">
        <v>705</v>
      </c>
      <c r="D37" s="500" t="s">
        <v>706</v>
      </c>
      <c r="F37" s="8"/>
      <c r="G37" s="8"/>
    </row>
    <row r="38" spans="1:7" s="500" customFormat="1" ht="12.75" customHeight="1">
      <c r="A38" s="500" t="s">
        <v>742</v>
      </c>
      <c r="B38" s="509">
        <f>Cal!C40</f>
        <v>440</v>
      </c>
      <c r="C38" s="509">
        <f>(B38-B39)*B6</f>
        <v>613.44191999999998</v>
      </c>
      <c r="D38" s="509">
        <f>D39+C38+E32</f>
        <v>50487.716845420458</v>
      </c>
      <c r="E38" s="500" t="s">
        <v>247</v>
      </c>
    </row>
    <row r="39" spans="1:7" ht="12.75" customHeight="1">
      <c r="A39" s="500" t="s">
        <v>743</v>
      </c>
      <c r="B39" s="509">
        <f>((D39-B28)*B5)+B40</f>
        <v>2940.8231687430698</v>
      </c>
      <c r="C39" s="515">
        <v>0</v>
      </c>
      <c r="D39" s="509">
        <f>B31</f>
        <v>49928.558080000003</v>
      </c>
      <c r="E39" s="500" t="s">
        <v>247</v>
      </c>
    </row>
    <row r="40" spans="1:7" ht="12.75" customHeight="1">
      <c r="A40" s="500" t="s">
        <v>744</v>
      </c>
      <c r="B40" s="509">
        <f>Cal!C41</f>
        <v>3960</v>
      </c>
      <c r="C40" s="509">
        <f>(B40-B39)*B6</f>
        <v>-249.99999999999994</v>
      </c>
      <c r="D40" s="509">
        <f>D38-(C38-C40)</f>
        <v>49624.274925420461</v>
      </c>
      <c r="E40" s="500" t="s">
        <v>247</v>
      </c>
    </row>
    <row r="41" spans="1:7" s="500" customFormat="1" ht="12.75" customHeight="1">
      <c r="A41" s="500" t="s">
        <v>713</v>
      </c>
      <c r="C41" s="510">
        <f>C38-C40</f>
        <v>863.44191999999998</v>
      </c>
    </row>
    <row r="42" spans="1:7" s="500" customFormat="1" ht="12.75" customHeight="1">
      <c r="A42" s="500" t="s">
        <v>745</v>
      </c>
      <c r="B42" s="508">
        <f>total_scale_weight</f>
        <v>51859</v>
      </c>
      <c r="C42" s="500" t="s">
        <v>238</v>
      </c>
    </row>
    <row r="43" spans="1:7" s="500" customFormat="1" ht="12.75" customHeight="1">
      <c r="A43" s="500" t="s">
        <v>746</v>
      </c>
      <c r="B43" s="509">
        <f>B42/B29</f>
        <v>50471.04622871046</v>
      </c>
      <c r="C43" s="500" t="s">
        <v>247</v>
      </c>
    </row>
    <row r="44" spans="1:7" s="500" customFormat="1" ht="12.75" customHeight="1">
      <c r="A44" s="500" t="s">
        <v>747</v>
      </c>
      <c r="B44" s="509">
        <f>B39+(B43-D39)*B5</f>
        <v>729.25775915441909</v>
      </c>
      <c r="C44" s="500" t="s">
        <v>702</v>
      </c>
    </row>
    <row r="45" spans="1:7" s="500" customFormat="1" ht="12.75"/>
    <row r="46" spans="1:7" s="500" customFormat="1" ht="12.75"/>
    <row r="47" spans="1:7" s="500" customFormat="1" ht="12.75"/>
    <row r="48" spans="1:7" s="500" customFormat="1" ht="12.75"/>
    <row r="49" s="500" customFormat="1" ht="12.75"/>
    <row r="50" s="500" customFormat="1" ht="12.75"/>
    <row r="51" s="500" customFormat="1" ht="12.75"/>
    <row r="52" s="500" customFormat="1" ht="12.75"/>
    <row r="53" s="500" customFormat="1" ht="12.75"/>
    <row r="54" s="500" customFormat="1" ht="12.75"/>
    <row r="55" s="500" customFormat="1" ht="12.75"/>
    <row r="56" s="500" customFormat="1" ht="12.75"/>
    <row r="57" s="500" customFormat="1" ht="12.75"/>
    <row r="58" s="500" customFormat="1" ht="12.75"/>
    <row r="59" s="500" customFormat="1" ht="12.75"/>
    <row r="60" s="500" customFormat="1" ht="12.75"/>
    <row r="61" s="500" customFormat="1" ht="12.75"/>
  </sheetData>
  <phoneticPr fontId="63" type="noConversion"/>
  <pageMargins left="0.74791666666666667" right="0.74791666666666667" top="0.98402777777777772" bottom="0.98402777777777772" header="0.51180555555555551" footer="0.5"/>
  <headerFooter alignWithMargins="0">
    <oddFooter>&amp;C&amp;F&amp;R&amp;P of &amp;N</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6"/>
  <sheetViews>
    <sheetView workbookViewId="0">
      <selection activeCell="D9" sqref="D9"/>
    </sheetView>
  </sheetViews>
  <sheetFormatPr defaultColWidth="11.42578125" defaultRowHeight="12.75"/>
  <cols>
    <col min="2" max="2" width="91.28515625" customWidth="1"/>
  </cols>
  <sheetData>
    <row r="1" spans="1:2">
      <c r="A1" s="452" t="s">
        <v>748</v>
      </c>
    </row>
    <row r="2" spans="1:2" ht="15.75">
      <c r="A2" s="120" t="s">
        <v>749</v>
      </c>
      <c r="B2" s="147">
        <f>Cal!D1</f>
        <v>523</v>
      </c>
    </row>
    <row r="3" spans="1:2">
      <c r="A3" s="1" t="s">
        <v>750</v>
      </c>
      <c r="B3" t="s">
        <v>751</v>
      </c>
    </row>
    <row r="4" spans="1:2">
      <c r="A4" s="516"/>
    </row>
    <row r="5" spans="1:2">
      <c r="A5" s="517"/>
    </row>
    <row r="6" spans="1:2">
      <c r="A6" s="516"/>
    </row>
  </sheetData>
  <phoneticPr fontId="63" type="noConversion"/>
  <pageMargins left="0.74791666666666667" right="0.74791666666666667" top="0.98402777777777772" bottom="0.98402777777777772" header="0.51180555555555551" footer="0.5"/>
  <headerFooter alignWithMargins="0">
    <oddFooter>&amp;C&amp;F&amp;R&amp;P of &amp;N</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B5"/>
  <sheetViews>
    <sheetView workbookViewId="0"/>
  </sheetViews>
  <sheetFormatPr defaultColWidth="8.85546875" defaultRowHeight="12.75"/>
  <cols>
    <col min="1" max="1" width="10.42578125" style="518" customWidth="1"/>
    <col min="2" max="2" width="95.7109375" style="519" customWidth="1"/>
  </cols>
  <sheetData>
    <row r="1" spans="1:2" ht="15.75">
      <c r="A1" s="520" t="s">
        <v>752</v>
      </c>
    </row>
    <row r="2" spans="1:2" ht="15.75">
      <c r="A2" s="521" t="s">
        <v>753</v>
      </c>
      <c r="B2" s="522">
        <f>Cal!D1</f>
        <v>523</v>
      </c>
    </row>
    <row r="3" spans="1:2">
      <c r="A3" s="518" t="s">
        <v>750</v>
      </c>
      <c r="B3" s="519" t="s">
        <v>751</v>
      </c>
    </row>
    <row r="5" spans="1:2">
      <c r="A5" s="523"/>
      <c r="B5" s="524"/>
    </row>
  </sheetData>
  <phoneticPr fontId="63" type="noConversion"/>
  <pageMargins left="0.74791666666666667" right="0.74791666666666667" top="0.98402777777777772" bottom="0.98402777777777772" header="0.51180555555555551" footer="0.5"/>
  <headerFooter alignWithMargins="0">
    <oddFooter>&amp;C&amp;F&amp;R&amp;P of &amp;N</oddFooter>
  </headerFooter>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F66"/>
  <sheetViews>
    <sheetView workbookViewId="0">
      <selection activeCell="B16" sqref="B16:E21"/>
    </sheetView>
  </sheetViews>
  <sheetFormatPr defaultColWidth="11.42578125" defaultRowHeight="12.75"/>
  <cols>
    <col min="1" max="1" width="15" customWidth="1"/>
    <col min="2" max="2" width="14.85546875" customWidth="1"/>
    <col min="3" max="3" width="13.42578125" customWidth="1"/>
    <col min="4" max="4" width="14" customWidth="1"/>
    <col min="5" max="5" width="14.85546875" customWidth="1"/>
    <col min="6" max="6" width="11.140625" customWidth="1"/>
    <col min="9" max="9" width="14.28515625" customWidth="1"/>
    <col min="11" max="11" width="13.28515625" customWidth="1"/>
    <col min="12" max="12" width="14.140625" customWidth="1"/>
  </cols>
  <sheetData>
    <row r="1" spans="1:6" ht="15.75">
      <c r="A1" s="218" t="s">
        <v>138</v>
      </c>
      <c r="C1" s="6" t="s">
        <v>754</v>
      </c>
      <c r="D1" s="525">
        <v>40201</v>
      </c>
    </row>
    <row r="2" spans="1:6" ht="18">
      <c r="A2" s="234" t="s">
        <v>340</v>
      </c>
      <c r="B2" s="526">
        <f>Cal!D1</f>
        <v>523</v>
      </c>
    </row>
    <row r="3" spans="1:6">
      <c r="A3" s="452" t="s">
        <v>2</v>
      </c>
      <c r="B3" s="38" t="s">
        <v>755</v>
      </c>
      <c r="C3" s="38"/>
    </row>
    <row r="4" spans="1:6">
      <c r="A4" s="452" t="s">
        <v>3</v>
      </c>
      <c r="B4" s="38" t="s">
        <v>756</v>
      </c>
      <c r="C4" s="38"/>
      <c r="D4" s="452" t="s">
        <v>757</v>
      </c>
      <c r="E4" s="500"/>
      <c r="F4" s="500"/>
    </row>
    <row r="5" spans="1:6">
      <c r="A5" s="452" t="s">
        <v>4</v>
      </c>
      <c r="B5" s="527">
        <v>252697</v>
      </c>
      <c r="C5" s="527"/>
      <c r="D5" s="639" t="s">
        <v>758</v>
      </c>
      <c r="E5" s="639"/>
      <c r="F5" s="528">
        <v>2.4950000000000001</v>
      </c>
    </row>
    <row r="6" spans="1:6">
      <c r="A6" s="452" t="s">
        <v>5</v>
      </c>
      <c r="B6" s="529">
        <v>40011</v>
      </c>
      <c r="C6" s="530"/>
      <c r="D6" s="639" t="s">
        <v>759</v>
      </c>
      <c r="E6" s="639"/>
      <c r="F6" s="531">
        <v>1.4871358871460001E-7</v>
      </c>
    </row>
    <row r="7" spans="1:6">
      <c r="A7" s="452" t="s">
        <v>6</v>
      </c>
      <c r="B7" s="38">
        <v>128</v>
      </c>
      <c r="C7" s="38"/>
      <c r="D7" s="639" t="s">
        <v>760</v>
      </c>
      <c r="E7" s="639"/>
      <c r="F7" s="500">
        <v>6724335.0701402798</v>
      </c>
    </row>
    <row r="8" spans="1:6">
      <c r="A8" s="532" t="s">
        <v>8</v>
      </c>
      <c r="B8" s="38">
        <v>14.7</v>
      </c>
      <c r="C8" s="38"/>
      <c r="D8" t="s">
        <v>761</v>
      </c>
      <c r="F8" s="509">
        <f>2^24</f>
        <v>16777216</v>
      </c>
    </row>
    <row r="9" spans="1:6">
      <c r="A9" s="452" t="s">
        <v>9</v>
      </c>
      <c r="B9" s="38">
        <v>0</v>
      </c>
      <c r="C9" s="38"/>
      <c r="D9" s="533" t="s">
        <v>762</v>
      </c>
      <c r="F9" s="534" t="s">
        <v>763</v>
      </c>
    </row>
    <row r="10" spans="1:6">
      <c r="A10" s="639"/>
      <c r="B10" s="639"/>
      <c r="C10" s="500"/>
      <c r="D10" s="500"/>
      <c r="E10" s="500"/>
      <c r="F10" s="500"/>
    </row>
    <row r="11" spans="1:6">
      <c r="A11" s="452" t="s">
        <v>764</v>
      </c>
      <c r="B11" s="535"/>
      <c r="C11" s="452"/>
      <c r="D11" s="452"/>
      <c r="E11" s="536"/>
      <c r="F11" s="452"/>
    </row>
    <row r="12" spans="1:6">
      <c r="A12" s="639" t="s">
        <v>765</v>
      </c>
      <c r="B12" s="639"/>
      <c r="C12" s="500"/>
      <c r="D12" s="500"/>
      <c r="E12" s="500"/>
      <c r="F12" s="500"/>
    </row>
    <row r="13" spans="1:6">
      <c r="A13" s="638" t="s">
        <v>766</v>
      </c>
      <c r="B13" s="638"/>
      <c r="C13" s="500"/>
      <c r="D13" s="500"/>
      <c r="E13" s="500"/>
      <c r="F13" s="500"/>
    </row>
    <row r="14" spans="1:6">
      <c r="A14" s="537" t="s">
        <v>767</v>
      </c>
      <c r="B14" s="643" t="s">
        <v>768</v>
      </c>
      <c r="C14" s="643"/>
      <c r="D14" s="643" t="s">
        <v>769</v>
      </c>
      <c r="E14" s="643"/>
      <c r="F14" s="500"/>
    </row>
    <row r="15" spans="1:6">
      <c r="A15" s="537" t="s">
        <v>770</v>
      </c>
      <c r="B15" s="537" t="s">
        <v>771</v>
      </c>
      <c r="C15" s="537" t="s">
        <v>772</v>
      </c>
      <c r="D15" s="537" t="s">
        <v>771</v>
      </c>
      <c r="E15" s="537" t="s">
        <v>772</v>
      </c>
      <c r="F15" s="500"/>
    </row>
    <row r="16" spans="1:6">
      <c r="A16" s="41">
        <v>0</v>
      </c>
      <c r="B16" s="538">
        <v>0.64600000000000002</v>
      </c>
      <c r="C16" s="538">
        <v>0.65300000000000002</v>
      </c>
      <c r="D16" s="538">
        <v>0.63700000000000001</v>
      </c>
      <c r="E16" s="538">
        <v>0.63600000000000001</v>
      </c>
      <c r="F16" s="500"/>
    </row>
    <row r="17" spans="1:6">
      <c r="A17" s="41">
        <v>300</v>
      </c>
      <c r="B17" s="538">
        <v>6.6680000000000001</v>
      </c>
      <c r="C17" s="538">
        <v>6.6779999999999999</v>
      </c>
      <c r="D17" s="538">
        <v>6.6639999999999997</v>
      </c>
      <c r="E17" s="538">
        <v>6.6660000000000004</v>
      </c>
      <c r="F17" s="500"/>
    </row>
    <row r="18" spans="1:6">
      <c r="A18" s="41">
        <v>600</v>
      </c>
      <c r="B18" s="538">
        <v>12.707000000000001</v>
      </c>
      <c r="C18" s="538">
        <v>12.722</v>
      </c>
      <c r="D18" s="538">
        <v>12.699</v>
      </c>
      <c r="E18" s="538">
        <v>12.714</v>
      </c>
      <c r="F18" s="500"/>
    </row>
    <row r="19" spans="1:6">
      <c r="A19" s="41">
        <v>900</v>
      </c>
      <c r="B19" s="538">
        <v>18.722999999999999</v>
      </c>
      <c r="C19" s="538">
        <v>18.736000000000001</v>
      </c>
      <c r="D19" s="538">
        <v>18.72</v>
      </c>
      <c r="E19" s="538">
        <v>18.73</v>
      </c>
      <c r="F19" s="500"/>
    </row>
    <row r="20" spans="1:6">
      <c r="A20" s="41">
        <v>1200</v>
      </c>
      <c r="B20" s="538">
        <v>24.716000000000001</v>
      </c>
      <c r="C20" s="538">
        <v>24.728999999999999</v>
      </c>
      <c r="D20" s="538">
        <v>24.719000000000001</v>
      </c>
      <c r="E20" s="538">
        <v>24.736000000000001</v>
      </c>
      <c r="F20" s="500"/>
    </row>
    <row r="21" spans="1:6">
      <c r="A21" s="41">
        <v>1500</v>
      </c>
      <c r="B21" s="538">
        <v>30.690999999999999</v>
      </c>
      <c r="C21" s="538"/>
      <c r="D21" s="538">
        <v>30.706</v>
      </c>
      <c r="E21" s="538"/>
      <c r="F21" s="500"/>
    </row>
    <row r="22" spans="1:6">
      <c r="A22" s="500"/>
      <c r="B22" s="500"/>
      <c r="C22" s="500"/>
      <c r="D22" s="500"/>
      <c r="E22" s="500"/>
      <c r="F22" s="500"/>
    </row>
    <row r="23" spans="1:6">
      <c r="A23" s="639" t="s">
        <v>773</v>
      </c>
      <c r="B23" s="639"/>
      <c r="C23" s="639"/>
      <c r="D23" s="639"/>
      <c r="E23" s="639"/>
      <c r="F23" s="639"/>
    </row>
    <row r="24" spans="1:6">
      <c r="A24" s="537" t="s">
        <v>770</v>
      </c>
      <c r="B24" s="537" t="s">
        <v>774</v>
      </c>
      <c r="C24" s="539"/>
      <c r="D24" s="537" t="s">
        <v>774</v>
      </c>
      <c r="E24" s="539"/>
      <c r="F24" s="500"/>
    </row>
    <row r="25" spans="1:6">
      <c r="A25" s="41">
        <v>0</v>
      </c>
      <c r="B25" s="540">
        <f>((B16+C16)/2)/2</f>
        <v>0.32474999999999998</v>
      </c>
      <c r="C25" s="41"/>
      <c r="D25" s="540">
        <f>((D16+E16)/2)/2</f>
        <v>0.31825000000000003</v>
      </c>
      <c r="E25" s="539"/>
      <c r="F25" s="500"/>
    </row>
    <row r="26" spans="1:6">
      <c r="A26" s="41">
        <v>300</v>
      </c>
      <c r="B26" s="540">
        <f>((B17+C17)/2)/2</f>
        <v>3.3365</v>
      </c>
      <c r="C26" s="41"/>
      <c r="D26" s="540">
        <f>((D17+E17)/2)/2</f>
        <v>3.3325</v>
      </c>
      <c r="E26" s="539"/>
      <c r="F26" s="500"/>
    </row>
    <row r="27" spans="1:6">
      <c r="A27" s="41">
        <v>600</v>
      </c>
      <c r="B27" s="540">
        <f>((B18+C18)/2)/2</f>
        <v>6.3572500000000005</v>
      </c>
      <c r="C27" s="41"/>
      <c r="D27" s="540">
        <f>((D18+E18)/2)/2</f>
        <v>6.3532500000000001</v>
      </c>
      <c r="E27" s="539"/>
      <c r="F27" s="500"/>
    </row>
    <row r="28" spans="1:6">
      <c r="A28" s="41">
        <v>900</v>
      </c>
      <c r="B28" s="540">
        <f>((B19+C19)/2)/2</f>
        <v>9.3647500000000008</v>
      </c>
      <c r="C28" s="41"/>
      <c r="D28" s="540">
        <f>((D19+E19)/2)/2</f>
        <v>9.3625000000000007</v>
      </c>
      <c r="E28" s="539"/>
      <c r="F28" s="500"/>
    </row>
    <row r="29" spans="1:6">
      <c r="A29" s="41">
        <v>1200</v>
      </c>
      <c r="B29" s="540">
        <f>((B20+C20)/2)/2</f>
        <v>12.36125</v>
      </c>
      <c r="C29" s="41"/>
      <c r="D29" s="540">
        <f>((D20+E20)/2)/2</f>
        <v>12.36375</v>
      </c>
      <c r="E29" s="539"/>
      <c r="F29" s="500"/>
    </row>
    <row r="30" spans="1:6">
      <c r="A30" s="41">
        <v>1500</v>
      </c>
      <c r="B30" s="540">
        <f>(B21)/2</f>
        <v>15.345499999999999</v>
      </c>
      <c r="C30" s="41"/>
      <c r="D30" s="540">
        <f>(D21)/2</f>
        <v>15.353</v>
      </c>
      <c r="E30" s="539"/>
      <c r="F30" s="500"/>
    </row>
    <row r="31" spans="1:6">
      <c r="A31" s="500"/>
      <c r="B31" s="500"/>
      <c r="C31" s="500"/>
      <c r="D31" s="500"/>
      <c r="E31" s="500"/>
      <c r="F31" s="500"/>
    </row>
    <row r="32" spans="1:6">
      <c r="A32" s="500"/>
      <c r="B32" s="500"/>
      <c r="C32" s="500"/>
      <c r="D32" s="500"/>
      <c r="E32" s="500"/>
      <c r="F32" s="500"/>
    </row>
    <row r="33" spans="1:6">
      <c r="A33" s="452" t="s">
        <v>603</v>
      </c>
      <c r="B33" s="500"/>
      <c r="C33" s="452" t="s">
        <v>604</v>
      </c>
      <c r="D33" s="500"/>
      <c r="E33" s="500"/>
      <c r="F33" s="500"/>
    </row>
    <row r="34" spans="1:6">
      <c r="A34" s="537" t="s">
        <v>767</v>
      </c>
      <c r="B34" s="537" t="s">
        <v>605</v>
      </c>
      <c r="C34" s="537" t="s">
        <v>767</v>
      </c>
      <c r="D34" s="537" t="s">
        <v>605</v>
      </c>
      <c r="E34" s="500"/>
      <c r="F34" s="500"/>
    </row>
    <row r="35" spans="1:6">
      <c r="A35" s="537" t="s">
        <v>770</v>
      </c>
      <c r="B35" s="537" t="s">
        <v>606</v>
      </c>
      <c r="C35" s="537" t="s">
        <v>770</v>
      </c>
      <c r="D35" s="537" t="s">
        <v>606</v>
      </c>
      <c r="E35" s="500"/>
      <c r="F35" s="500"/>
    </row>
    <row r="36" spans="1:6">
      <c r="A36" s="41">
        <v>0</v>
      </c>
      <c r="B36" s="541">
        <f t="shared" ref="B36:B41" si="0">(B25*$B$7)*$F$7/1000</f>
        <v>279517.16019559116</v>
      </c>
      <c r="C36" s="41">
        <v>0</v>
      </c>
      <c r="D36" s="541">
        <f t="shared" ref="D36:D41" si="1">(D25*$B$7)*$F$7/1000</f>
        <v>273922.51341723447</v>
      </c>
      <c r="E36" s="500"/>
      <c r="F36" s="500"/>
    </row>
    <row r="37" spans="1:6">
      <c r="A37" s="41">
        <v>300</v>
      </c>
      <c r="B37" s="541">
        <f t="shared" si="0"/>
        <v>2871775.2270749495</v>
      </c>
      <c r="C37" s="41">
        <v>300</v>
      </c>
      <c r="D37" s="541">
        <f t="shared" si="1"/>
        <v>2868332.3675190378</v>
      </c>
      <c r="E37" s="500"/>
      <c r="F37" s="500"/>
    </row>
    <row r="38" spans="1:6">
      <c r="A38" s="41">
        <v>600</v>
      </c>
      <c r="B38" s="541">
        <f t="shared" si="0"/>
        <v>5471779.7279551094</v>
      </c>
      <c r="C38" s="41">
        <v>600</v>
      </c>
      <c r="D38" s="541">
        <f t="shared" si="1"/>
        <v>5468336.8683991972</v>
      </c>
      <c r="E38" s="500"/>
      <c r="F38" s="500"/>
    </row>
    <row r="39" spans="1:6">
      <c r="A39" s="41">
        <v>900</v>
      </c>
      <c r="B39" s="541">
        <f t="shared" si="0"/>
        <v>8060379.7565563126</v>
      </c>
      <c r="C39" s="41">
        <v>900</v>
      </c>
      <c r="D39" s="541">
        <f t="shared" si="1"/>
        <v>8058443.1480561122</v>
      </c>
      <c r="E39" s="500"/>
      <c r="F39" s="500"/>
    </row>
    <row r="40" spans="1:6">
      <c r="A40" s="41">
        <v>1200</v>
      </c>
      <c r="B40" s="541">
        <f t="shared" si="0"/>
        <v>10639511.921378756</v>
      </c>
      <c r="C40" s="41">
        <v>1200</v>
      </c>
      <c r="D40" s="541">
        <f t="shared" si="1"/>
        <v>10641663.708601201</v>
      </c>
      <c r="E40" s="500"/>
      <c r="F40" s="500"/>
    </row>
    <row r="41" spans="1:6">
      <c r="A41" s="41">
        <v>1500</v>
      </c>
      <c r="B41" s="541">
        <f t="shared" si="0"/>
        <v>13208100.328811221</v>
      </c>
      <c r="C41" s="41">
        <v>1500</v>
      </c>
      <c r="D41" s="541">
        <f t="shared" si="1"/>
        <v>13214555.690478556</v>
      </c>
      <c r="E41" s="500"/>
      <c r="F41" s="500"/>
    </row>
    <row r="42" spans="1:6">
      <c r="A42" s="500"/>
      <c r="B42" s="500"/>
      <c r="C42" s="500"/>
      <c r="D42" s="500"/>
      <c r="E42" s="500"/>
      <c r="F42" s="500"/>
    </row>
    <row r="43" spans="1:6">
      <c r="A43" s="641" t="s">
        <v>607</v>
      </c>
      <c r="B43" s="641"/>
      <c r="C43" s="641"/>
      <c r="D43" s="543"/>
      <c r="E43" s="500"/>
      <c r="F43" s="500"/>
    </row>
    <row r="44" spans="1:6">
      <c r="A44" s="642" t="s">
        <v>608</v>
      </c>
      <c r="B44" s="642"/>
      <c r="C44" s="545"/>
      <c r="D44" s="546"/>
      <c r="E44" s="500"/>
      <c r="F44" s="500"/>
    </row>
    <row r="45" spans="1:6">
      <c r="A45" s="547" t="s">
        <v>603</v>
      </c>
      <c r="B45" s="548"/>
      <c r="C45" s="547" t="s">
        <v>604</v>
      </c>
      <c r="D45" s="549"/>
      <c r="E45" s="500"/>
      <c r="F45" s="500"/>
    </row>
    <row r="46" spans="1:6">
      <c r="A46" s="550" t="s">
        <v>609</v>
      </c>
      <c r="B46" s="551">
        <f>SLOPE(A36:A41,B36:B41)</f>
        <v>1.1597706287218201E-4</v>
      </c>
      <c r="C46" s="550" t="s">
        <v>609</v>
      </c>
      <c r="D46" s="552">
        <f>SLOPE(C36:C41,D36:D41)</f>
        <v>1.158766783845228E-4</v>
      </c>
      <c r="E46" s="500"/>
      <c r="F46" s="500"/>
    </row>
    <row r="47" spans="1:6">
      <c r="A47" s="553" t="s">
        <v>610</v>
      </c>
      <c r="B47" s="554">
        <f>INTERCEPT(A36:A41,B36:B41)</f>
        <v>-33.445628658396799</v>
      </c>
      <c r="C47" s="553" t="s">
        <v>610</v>
      </c>
      <c r="D47" s="555">
        <f>INTERCEPT(C36:C41,D36:D41)</f>
        <v>-32.655309760535033</v>
      </c>
      <c r="E47" s="500"/>
      <c r="F47" s="500"/>
    </row>
    <row r="48" spans="1:6">
      <c r="A48" s="556"/>
      <c r="B48" s="557"/>
      <c r="C48" s="556"/>
      <c r="D48" s="557"/>
      <c r="E48" s="500"/>
      <c r="F48" s="500"/>
    </row>
    <row r="49" spans="1:6">
      <c r="A49" s="500"/>
      <c r="B49" s="500"/>
      <c r="C49" s="500"/>
      <c r="D49" s="500"/>
      <c r="E49" s="500"/>
      <c r="F49" s="500"/>
    </row>
    <row r="50" spans="1:6">
      <c r="A50" s="644" t="s">
        <v>611</v>
      </c>
      <c r="B50" s="644"/>
      <c r="C50" s="500"/>
      <c r="D50" s="644" t="s">
        <v>612</v>
      </c>
      <c r="E50" s="644"/>
      <c r="F50" s="500"/>
    </row>
    <row r="51" spans="1:6">
      <c r="A51" s="49" t="s">
        <v>243</v>
      </c>
      <c r="B51" s="49" t="s">
        <v>613</v>
      </c>
      <c r="C51" s="49" t="s">
        <v>614</v>
      </c>
      <c r="D51" s="49" t="s">
        <v>243</v>
      </c>
      <c r="E51" s="49" t="s">
        <v>613</v>
      </c>
      <c r="F51" s="49" t="s">
        <v>614</v>
      </c>
    </row>
    <row r="52" spans="1:6">
      <c r="A52" s="49" t="s">
        <v>770</v>
      </c>
      <c r="B52" s="49" t="s">
        <v>770</v>
      </c>
      <c r="C52" s="49"/>
      <c r="D52" s="49" t="s">
        <v>770</v>
      </c>
      <c r="E52" s="49" t="s">
        <v>770</v>
      </c>
      <c r="F52" s="49"/>
    </row>
    <row r="53" spans="1:6">
      <c r="A53" s="539">
        <v>0</v>
      </c>
      <c r="B53" s="558">
        <f t="shared" ref="B53:B58" si="2">B36*$B$46+$B$47</f>
        <v>-1.0280493965389539</v>
      </c>
      <c r="C53" s="559"/>
      <c r="D53" s="539">
        <v>0</v>
      </c>
      <c r="E53" s="558">
        <f t="shared" ref="E53:E58" si="3">D36*$D$46+$D$47</f>
        <v>-0.91407877100602164</v>
      </c>
      <c r="F53" s="559"/>
    </row>
    <row r="54" spans="1:6">
      <c r="A54" s="539">
        <v>300</v>
      </c>
      <c r="B54" s="558">
        <f t="shared" si="2"/>
        <v>299.61442740684936</v>
      </c>
      <c r="C54" s="560">
        <f>(A54-B54)/A54</f>
        <v>1.2852419771688043E-3</v>
      </c>
      <c r="D54" s="539">
        <v>300</v>
      </c>
      <c r="E54" s="558">
        <f t="shared" si="3"/>
        <v>299.71751749038538</v>
      </c>
      <c r="F54" s="560">
        <f>(D54-E54)/D54</f>
        <v>9.4160836538208063E-4</v>
      </c>
    </row>
    <row r="55" spans="1:6">
      <c r="A55" s="539">
        <v>600</v>
      </c>
      <c r="B55" s="558">
        <f t="shared" si="2"/>
        <v>601.15531287338388</v>
      </c>
      <c r="C55" s="560">
        <f>(A55-B55)/A55</f>
        <v>-1.925521455639796E-3</v>
      </c>
      <c r="D55" s="539">
        <v>600</v>
      </c>
      <c r="E55" s="558">
        <f t="shared" si="3"/>
        <v>600.99740283718734</v>
      </c>
      <c r="F55" s="560">
        <f>(D55-E55)/D55</f>
        <v>-1.6623380619788955E-3</v>
      </c>
    </row>
    <row r="56" spans="1:6">
      <c r="A56" s="539">
        <v>900</v>
      </c>
      <c r="B56" s="558">
        <f t="shared" si="2"/>
        <v>901.37354114139771</v>
      </c>
      <c r="C56" s="560">
        <f>(A56-B56)/A56</f>
        <v>-1.5261568237752321E-3</v>
      </c>
      <c r="D56" s="539">
        <v>900</v>
      </c>
      <c r="E56" s="558">
        <f t="shared" si="3"/>
        <v>901.1303151867246</v>
      </c>
      <c r="F56" s="560">
        <f>(D56-E56)/D56</f>
        <v>-1.255905763027335E-3</v>
      </c>
    </row>
    <row r="57" spans="1:6">
      <c r="A57" s="539">
        <v>1200</v>
      </c>
      <c r="B57" s="558">
        <f t="shared" si="2"/>
        <v>1200.4937143766772</v>
      </c>
      <c r="C57" s="560">
        <f>(A57-B57)/A57</f>
        <v>-4.1142864723099138E-4</v>
      </c>
      <c r="D57" s="539">
        <v>1200</v>
      </c>
      <c r="E57" s="558">
        <f t="shared" si="3"/>
        <v>1200.4653332772946</v>
      </c>
      <c r="F57" s="560">
        <f>(D57-E57)/D57</f>
        <v>-3.8777773107881333E-4</v>
      </c>
    </row>
    <row r="58" spans="1:6">
      <c r="A58" s="539">
        <v>1500</v>
      </c>
      <c r="B58" s="558">
        <f t="shared" si="2"/>
        <v>1498.39105359823</v>
      </c>
      <c r="C58" s="560">
        <f>(A58-B58)/A58</f>
        <v>1.072630934513351E-3</v>
      </c>
      <c r="D58" s="539">
        <v>1500</v>
      </c>
      <c r="E58" s="558">
        <f t="shared" si="3"/>
        <v>1498.6035099794144</v>
      </c>
      <c r="F58" s="560">
        <f>(D58-E58)/D58</f>
        <v>9.3099334705705895E-4</v>
      </c>
    </row>
    <row r="59" spans="1:6">
      <c r="A59" s="500"/>
      <c r="B59" s="500"/>
      <c r="C59" s="500"/>
      <c r="D59" s="500"/>
      <c r="E59" s="500"/>
      <c r="F59" s="500"/>
    </row>
    <row r="60" spans="1:6">
      <c r="A60" s="640" t="s">
        <v>615</v>
      </c>
      <c r="B60" s="640"/>
      <c r="C60" s="640"/>
      <c r="D60" s="640"/>
      <c r="E60" s="561"/>
      <c r="F60" s="500"/>
    </row>
    <row r="61" spans="1:6">
      <c r="A61" s="641" t="s">
        <v>616</v>
      </c>
      <c r="B61" s="641"/>
      <c r="C61" s="641"/>
      <c r="D61" s="562"/>
      <c r="E61" s="543"/>
      <c r="F61" s="500"/>
    </row>
    <row r="62" spans="1:6">
      <c r="A62" s="642" t="s">
        <v>617</v>
      </c>
      <c r="B62" s="642"/>
      <c r="C62" s="563"/>
      <c r="D62" s="564"/>
      <c r="E62" s="565"/>
      <c r="F62" s="500"/>
    </row>
    <row r="63" spans="1:6">
      <c r="A63" s="547" t="s">
        <v>603</v>
      </c>
      <c r="B63" s="566"/>
      <c r="C63" s="545"/>
      <c r="D63" s="547" t="s">
        <v>604</v>
      </c>
      <c r="E63" s="549"/>
      <c r="F63" s="500"/>
    </row>
    <row r="64" spans="1:6">
      <c r="A64" s="567" t="s">
        <v>609</v>
      </c>
      <c r="B64" s="568">
        <f>B46</f>
        <v>1.1597706287218201E-4</v>
      </c>
      <c r="C64" s="569"/>
      <c r="D64" s="542" t="s">
        <v>609</v>
      </c>
      <c r="E64" s="570">
        <f>D46</f>
        <v>1.158766783845228E-4</v>
      </c>
      <c r="F64" s="500"/>
    </row>
    <row r="65" spans="1:6">
      <c r="A65" s="567" t="s">
        <v>610</v>
      </c>
      <c r="B65" s="568">
        <f>B47-B8</f>
        <v>-48.145628658396802</v>
      </c>
      <c r="C65" s="569"/>
      <c r="D65" s="567" t="s">
        <v>610</v>
      </c>
      <c r="E65" s="568">
        <f>E47-B8</f>
        <v>-14.7</v>
      </c>
      <c r="F65" s="500"/>
    </row>
    <row r="66" spans="1:6">
      <c r="A66" s="544" t="s">
        <v>15</v>
      </c>
      <c r="B66" s="571">
        <f>B65*0.685</f>
        <v>-32.979755631001815</v>
      </c>
      <c r="C66" s="563"/>
      <c r="D66" s="544" t="s">
        <v>15</v>
      </c>
      <c r="E66" s="571">
        <f>E65*0.685</f>
        <v>-10.0695</v>
      </c>
      <c r="F66" s="500"/>
    </row>
  </sheetData>
  <mergeCells count="16">
    <mergeCell ref="A60:D60"/>
    <mergeCell ref="A61:C61"/>
    <mergeCell ref="A62:B62"/>
    <mergeCell ref="B14:C14"/>
    <mergeCell ref="D14:E14"/>
    <mergeCell ref="A23:F23"/>
    <mergeCell ref="A43:C43"/>
    <mergeCell ref="A44:B44"/>
    <mergeCell ref="A50:B50"/>
    <mergeCell ref="D50:E50"/>
    <mergeCell ref="A13:B13"/>
    <mergeCell ref="D5:E5"/>
    <mergeCell ref="D6:E6"/>
    <mergeCell ref="D7:E7"/>
    <mergeCell ref="A10:B10"/>
    <mergeCell ref="A12:B12"/>
  </mergeCells>
  <phoneticPr fontId="63" type="noConversion"/>
  <pageMargins left="0.74791666666666667" right="0.74791666666666667" top="0.98402777777777772" bottom="0.98402777777777772" header="0.51180555555555551" footer="0.5"/>
  <headerFooter alignWithMargins="0">
    <oddFooter>&amp;C&amp;F&amp;R&amp;P of &amp;N</oddFooter>
  </headerFooter>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W9"/>
  <sheetViews>
    <sheetView workbookViewId="0">
      <selection activeCell="A5" sqref="A5:W9"/>
    </sheetView>
  </sheetViews>
  <sheetFormatPr defaultColWidth="8.85546875" defaultRowHeight="12.75"/>
  <cols>
    <col min="1" max="1" width="6.85546875" customWidth="1"/>
    <col min="2" max="2" width="7.42578125" customWidth="1"/>
    <col min="3" max="4" width="7.42578125" style="1" customWidth="1"/>
    <col min="5" max="5" width="10" style="1" customWidth="1"/>
    <col min="6" max="7" width="7.42578125" customWidth="1"/>
    <col min="8" max="8" width="7.42578125" style="1" customWidth="1"/>
    <col min="9" max="9" width="8" style="1" customWidth="1"/>
    <col min="10" max="12" width="7.42578125" customWidth="1"/>
    <col min="13" max="13" width="7.140625" style="1" customWidth="1"/>
    <col min="14" max="16" width="7.42578125" customWidth="1"/>
    <col min="17" max="17" width="7.42578125" style="1" customWidth="1"/>
    <col min="18" max="18" width="7.42578125" customWidth="1"/>
  </cols>
  <sheetData>
    <row r="1" spans="1:23" ht="15.75">
      <c r="A1" s="572" t="s">
        <v>618</v>
      </c>
      <c r="B1" s="22"/>
      <c r="F1" s="22"/>
      <c r="J1" s="22"/>
      <c r="N1" s="22"/>
    </row>
    <row r="2" spans="1:23" ht="15.75">
      <c r="A2" s="572"/>
      <c r="B2" s="22"/>
      <c r="F2" s="22"/>
      <c r="J2" s="22"/>
      <c r="N2" s="22"/>
    </row>
    <row r="3" spans="1:23" ht="38.25" customHeight="1">
      <c r="A3" s="494"/>
      <c r="B3" s="532" t="s">
        <v>619</v>
      </c>
      <c r="D3" s="22"/>
      <c r="E3" s="573"/>
      <c r="F3" s="532" t="s">
        <v>775</v>
      </c>
      <c r="I3" s="573"/>
      <c r="J3" s="574" t="s">
        <v>776</v>
      </c>
      <c r="M3" s="573"/>
      <c r="N3" s="532" t="s">
        <v>777</v>
      </c>
      <c r="R3" s="645" t="s">
        <v>778</v>
      </c>
      <c r="S3" s="645"/>
      <c r="T3" s="645"/>
      <c r="U3" s="645" t="s">
        <v>779</v>
      </c>
      <c r="V3" s="645"/>
      <c r="W3" s="645"/>
    </row>
    <row r="4" spans="1:23" ht="82.5" customHeight="1" thickBot="1">
      <c r="A4" s="575" t="s">
        <v>780</v>
      </c>
      <c r="B4" s="576" t="s">
        <v>781</v>
      </c>
      <c r="C4" s="576" t="s">
        <v>782</v>
      </c>
      <c r="D4" s="576" t="s">
        <v>783</v>
      </c>
      <c r="E4" s="577" t="s">
        <v>784</v>
      </c>
      <c r="F4" s="576" t="s">
        <v>781</v>
      </c>
      <c r="G4" s="576" t="s">
        <v>782</v>
      </c>
      <c r="H4" s="576" t="s">
        <v>783</v>
      </c>
      <c r="I4" s="577" t="s">
        <v>785</v>
      </c>
      <c r="J4" s="576" t="s">
        <v>781</v>
      </c>
      <c r="K4" s="576" t="s">
        <v>782</v>
      </c>
      <c r="L4" s="576" t="s">
        <v>783</v>
      </c>
      <c r="M4" s="577" t="s">
        <v>786</v>
      </c>
      <c r="N4" s="576" t="s">
        <v>781</v>
      </c>
      <c r="O4" s="576" t="s">
        <v>782</v>
      </c>
      <c r="P4" s="576" t="s">
        <v>783</v>
      </c>
      <c r="Q4" s="576" t="s">
        <v>786</v>
      </c>
      <c r="R4" s="576" t="s">
        <v>787</v>
      </c>
      <c r="S4" s="576" t="s">
        <v>677</v>
      </c>
      <c r="T4" s="576" t="s">
        <v>678</v>
      </c>
      <c r="U4" s="576" t="s">
        <v>679</v>
      </c>
      <c r="V4" s="576" t="s">
        <v>680</v>
      </c>
      <c r="W4" s="576" t="s">
        <v>681</v>
      </c>
    </row>
    <row r="5" spans="1:23" ht="12.75" customHeight="1">
      <c r="A5" s="599" t="str">
        <f>'[1]Weight sheet'!H190</f>
        <v>21M</v>
      </c>
      <c r="B5" s="600">
        <v>30</v>
      </c>
      <c r="C5" s="601">
        <f>'[1]Weight sheet'!F190</f>
        <v>52.46</v>
      </c>
      <c r="D5" s="601" t="str">
        <f>'[1]Weight sheet'!G190</f>
        <v>22.95</v>
      </c>
      <c r="E5" s="602"/>
      <c r="F5" s="603"/>
      <c r="G5" s="603"/>
      <c r="H5" s="603"/>
      <c r="I5" s="604"/>
      <c r="J5" s="603"/>
      <c r="K5" s="603"/>
      <c r="L5" s="603"/>
      <c r="M5" s="604"/>
      <c r="N5" s="603"/>
      <c r="O5" s="603"/>
      <c r="P5" s="603"/>
      <c r="Q5" s="603"/>
      <c r="R5" s="603"/>
      <c r="S5" s="603"/>
      <c r="T5" s="603"/>
      <c r="U5" s="603"/>
      <c r="V5" s="603"/>
      <c r="W5" s="604"/>
    </row>
    <row r="6" spans="1:23">
      <c r="A6" s="605" t="str">
        <f>IF(ISBLANK('[1]Weight sheet'!H208),'[1]Weight sheet'!#REF!,'[1]Weight sheet'!H208)</f>
        <v>19B</v>
      </c>
      <c r="B6" s="606"/>
      <c r="C6" s="607"/>
      <c r="D6" s="607"/>
      <c r="E6" s="608"/>
      <c r="F6" s="609">
        <v>30</v>
      </c>
      <c r="G6" s="610">
        <f>IF(ISBLANK('[1]Weight sheet'!F208),'[1]Weight sheet'!#REF!,'[1]Weight sheet'!F208)</f>
        <v>22.13</v>
      </c>
      <c r="H6" s="610">
        <f>IF(ISBLANK('[1]Weight sheet'!G208),'[1]Weight sheet'!#REF!,'[1]Weight sheet'!G208)</f>
        <v>10.27</v>
      </c>
      <c r="I6" s="611"/>
      <c r="J6" s="606"/>
      <c r="K6" s="606"/>
      <c r="L6" s="606"/>
      <c r="M6" s="608"/>
      <c r="N6" s="606"/>
      <c r="O6" s="606"/>
      <c r="P6" s="606"/>
      <c r="Q6" s="607"/>
      <c r="R6" s="606"/>
      <c r="S6" s="606"/>
      <c r="T6" s="606"/>
      <c r="U6" s="606"/>
      <c r="V6" s="606"/>
      <c r="W6" s="612"/>
    </row>
    <row r="7" spans="1:23">
      <c r="A7" s="613" t="str">
        <f>'[1]Weight sheet'!H281</f>
        <v>005</v>
      </c>
      <c r="B7" s="606"/>
      <c r="C7" s="607"/>
      <c r="D7" s="607"/>
      <c r="E7" s="608"/>
      <c r="F7" s="606"/>
      <c r="G7" s="606"/>
      <c r="H7" s="607"/>
      <c r="I7" s="608"/>
      <c r="J7" s="609">
        <v>30</v>
      </c>
      <c r="K7" s="610">
        <f>'[1]Weight sheet'!F281</f>
        <v>25.01</v>
      </c>
      <c r="L7" s="610">
        <f>'[1]Weight sheet'!G281</f>
        <v>11.5</v>
      </c>
      <c r="M7" s="611">
        <v>13.41</v>
      </c>
      <c r="N7" s="606"/>
      <c r="O7" s="606"/>
      <c r="P7" s="606"/>
      <c r="Q7" s="607"/>
      <c r="R7" s="606"/>
      <c r="S7" s="606"/>
      <c r="T7" s="606"/>
      <c r="U7" s="606"/>
      <c r="V7" s="606"/>
      <c r="W7" s="612"/>
    </row>
    <row r="8" spans="1:23">
      <c r="A8" s="613" t="str">
        <f>'[1]Weight sheet'!H280</f>
        <v>038</v>
      </c>
      <c r="B8" s="606"/>
      <c r="C8" s="607"/>
      <c r="D8" s="607"/>
      <c r="E8" s="608"/>
      <c r="F8" s="606"/>
      <c r="G8" s="606"/>
      <c r="H8" s="607"/>
      <c r="I8" s="608"/>
      <c r="J8" s="606"/>
      <c r="K8" s="606"/>
      <c r="L8" s="606"/>
      <c r="M8" s="608"/>
      <c r="N8" s="609">
        <v>30</v>
      </c>
      <c r="O8" s="610">
        <f>'[1]Weight sheet'!F280</f>
        <v>36.04</v>
      </c>
      <c r="P8" s="610">
        <f>'[1]Weight sheet'!G280</f>
        <v>13.1</v>
      </c>
      <c r="Q8" s="614">
        <v>21.9</v>
      </c>
      <c r="R8" s="609"/>
      <c r="S8" s="609"/>
      <c r="T8" s="609"/>
      <c r="U8" s="609"/>
      <c r="V8" s="609"/>
      <c r="W8" s="615"/>
    </row>
    <row r="9" spans="1:23" ht="13.5" thickBot="1">
      <c r="A9" s="616"/>
      <c r="B9" s="617"/>
      <c r="C9" s="618"/>
      <c r="D9" s="618"/>
      <c r="E9" s="619"/>
      <c r="F9" s="620"/>
      <c r="G9" s="617"/>
      <c r="H9" s="618"/>
      <c r="I9" s="619"/>
      <c r="J9" s="620"/>
      <c r="K9" s="617"/>
      <c r="L9" s="617"/>
      <c r="M9" s="619"/>
      <c r="N9" s="620"/>
      <c r="O9" s="617"/>
      <c r="P9" s="617"/>
      <c r="Q9" s="618"/>
      <c r="R9" s="617"/>
      <c r="S9" s="617"/>
      <c r="T9" s="617"/>
      <c r="U9" s="617"/>
      <c r="V9" s="617"/>
      <c r="W9" s="621"/>
    </row>
  </sheetData>
  <mergeCells count="2">
    <mergeCell ref="R3:T3"/>
    <mergeCell ref="U3:W3"/>
  </mergeCells>
  <phoneticPr fontId="63" type="noConversion"/>
  <pageMargins left="0.74791666666666667" right="0.74791666666666667" top="0.98402777777777772" bottom="0.98402777777777772" header="0.51180555555555551" footer="0.51180555555555551"/>
  <headerFooter alignWithMargins="0">
    <oddFooter>&amp;C&amp;F&amp;R&amp;P of &amp;N</oddFooter>
  </headerFooter>
</worksheet>
</file>

<file path=xl/worksheets/sheet9.xml><?xml version="1.0" encoding="utf-8"?>
<worksheet xmlns="http://schemas.openxmlformats.org/spreadsheetml/2006/main" xmlns:r="http://schemas.openxmlformats.org/officeDocument/2006/relationships">
  <dimension ref="A1:F26"/>
  <sheetViews>
    <sheetView workbookViewId="0">
      <selection activeCell="E15" sqref="E15"/>
    </sheetView>
  </sheetViews>
  <sheetFormatPr defaultColWidth="8.85546875" defaultRowHeight="12.75"/>
  <cols>
    <col min="1" max="1" width="25.7109375" style="31" customWidth="1"/>
    <col min="2" max="2" width="12.140625" style="31" customWidth="1"/>
    <col min="3" max="16384" width="8.85546875" style="533"/>
  </cols>
  <sheetData>
    <row r="1" spans="1:6" s="578" customFormat="1" ht="18">
      <c r="A1" s="622" t="s">
        <v>682</v>
      </c>
      <c r="B1" s="623" t="s">
        <v>117</v>
      </c>
      <c r="C1" s="624">
        <f>[1]Trim!C2</f>
        <v>523</v>
      </c>
    </row>
    <row r="2" spans="1:6" ht="15.75">
      <c r="A2" s="6" t="s">
        <v>226</v>
      </c>
      <c r="B2" s="7">
        <f ca="1">NOW()</f>
        <v>41330.565204050923</v>
      </c>
      <c r="C2" s="6" t="s">
        <v>228</v>
      </c>
      <c r="D2" s="9">
        <f ca="1">NOW()</f>
        <v>41330.565204050923</v>
      </c>
    </row>
    <row r="3" spans="1:6">
      <c r="A3" s="20" t="s">
        <v>683</v>
      </c>
      <c r="B3" s="589">
        <v>2.7130000000000001</v>
      </c>
      <c r="C3" s="500" t="s">
        <v>251</v>
      </c>
      <c r="D3" s="500"/>
    </row>
    <row r="4" spans="1:6">
      <c r="A4" s="20" t="s">
        <v>684</v>
      </c>
      <c r="B4" s="589">
        <v>11.295999999999999</v>
      </c>
      <c r="C4" s="500" t="s">
        <v>251</v>
      </c>
      <c r="D4" s="500"/>
    </row>
    <row r="5" spans="1:6">
      <c r="A5" s="20" t="s">
        <v>685</v>
      </c>
      <c r="B5" s="589">
        <v>8.4149999999999991</v>
      </c>
      <c r="C5" s="500" t="s">
        <v>251</v>
      </c>
      <c r="D5" s="500"/>
    </row>
    <row r="6" spans="1:6">
      <c r="A6" s="20" t="s">
        <v>686</v>
      </c>
      <c r="B6" s="589">
        <v>8.0269999999999992</v>
      </c>
      <c r="C6" s="500" t="s">
        <v>251</v>
      </c>
      <c r="D6" s="500"/>
    </row>
    <row r="7" spans="1:6">
      <c r="A7" s="20" t="s">
        <v>687</v>
      </c>
      <c r="B7" s="589">
        <v>0.9</v>
      </c>
      <c r="C7" s="500" t="s">
        <v>251</v>
      </c>
      <c r="D7" s="500"/>
    </row>
    <row r="8" spans="1:6">
      <c r="A8" s="20" t="s">
        <v>688</v>
      </c>
      <c r="B8" s="625">
        <f>[1]Trim!M30</f>
        <v>1.5004925853808204</v>
      </c>
      <c r="C8" s="500" t="s">
        <v>251</v>
      </c>
      <c r="D8" s="626" t="s">
        <v>118</v>
      </c>
      <c r="E8" s="627"/>
      <c r="F8" s="628"/>
    </row>
    <row r="9" spans="1:6">
      <c r="A9" s="20" t="s">
        <v>689</v>
      </c>
      <c r="B9" s="589">
        <v>7.1</v>
      </c>
      <c r="C9" s="500" t="s">
        <v>251</v>
      </c>
      <c r="D9" s="629"/>
      <c r="E9" s="628"/>
      <c r="F9" s="628"/>
    </row>
    <row r="10" spans="1:6">
      <c r="A10" s="20" t="s">
        <v>690</v>
      </c>
      <c r="B10" s="589">
        <v>1.41</v>
      </c>
      <c r="C10" s="500" t="s">
        <v>251</v>
      </c>
      <c r="D10" s="629"/>
      <c r="E10" s="628"/>
      <c r="F10" s="628"/>
    </row>
    <row r="11" spans="1:6">
      <c r="A11" s="20" t="s">
        <v>691</v>
      </c>
      <c r="B11" s="589">
        <v>1.23</v>
      </c>
      <c r="C11" s="500" t="s">
        <v>251</v>
      </c>
      <c r="D11" s="629"/>
      <c r="E11" s="628"/>
      <c r="F11" s="628"/>
    </row>
    <row r="12" spans="1:6">
      <c r="A12" s="20" t="s">
        <v>692</v>
      </c>
      <c r="B12" s="589">
        <v>0.82289999999999996</v>
      </c>
      <c r="C12" s="500" t="s">
        <v>251</v>
      </c>
    </row>
    <row r="13" spans="1:6">
      <c r="A13" s="20" t="s">
        <v>693</v>
      </c>
      <c r="B13" s="589">
        <v>0.67200000000000004</v>
      </c>
      <c r="C13" s="500" t="s">
        <v>251</v>
      </c>
      <c r="D13" s="500"/>
    </row>
    <row r="14" spans="1:6">
      <c r="A14" s="1" t="s">
        <v>694</v>
      </c>
      <c r="B14" s="589">
        <v>1.3935999999999999</v>
      </c>
      <c r="C14" s="500" t="s">
        <v>251</v>
      </c>
      <c r="D14" s="500"/>
    </row>
    <row r="15" spans="1:6">
      <c r="A15" s="1" t="s">
        <v>695</v>
      </c>
      <c r="B15" s="589">
        <v>1.151</v>
      </c>
      <c r="C15" s="500" t="s">
        <v>251</v>
      </c>
      <c r="D15" s="500"/>
    </row>
    <row r="16" spans="1:6">
      <c r="A16" s="1" t="s">
        <v>696</v>
      </c>
      <c r="B16" s="589">
        <v>1.21</v>
      </c>
      <c r="C16" s="500" t="s">
        <v>251</v>
      </c>
      <c r="D16" s="500"/>
    </row>
    <row r="17" spans="1:3">
      <c r="A17" s="31" t="s">
        <v>119</v>
      </c>
      <c r="B17" s="589">
        <v>1.0003</v>
      </c>
      <c r="C17" s="500" t="s">
        <v>251</v>
      </c>
    </row>
    <row r="18" spans="1:3">
      <c r="A18" s="31" t="s">
        <v>120</v>
      </c>
      <c r="B18" s="589">
        <v>1</v>
      </c>
      <c r="C18" s="500" t="s">
        <v>251</v>
      </c>
    </row>
    <row r="19" spans="1:3">
      <c r="A19" s="31" t="s">
        <v>121</v>
      </c>
      <c r="B19" s="38">
        <v>0.42</v>
      </c>
      <c r="C19" s="500" t="s">
        <v>251</v>
      </c>
    </row>
    <row r="20" spans="1:3">
      <c r="A20" s="630" t="s">
        <v>122</v>
      </c>
      <c r="B20" s="631">
        <v>1.1000000000000001</v>
      </c>
      <c r="C20" s="632" t="s">
        <v>251</v>
      </c>
    </row>
    <row r="21" spans="1:3">
      <c r="A21" s="630" t="s">
        <v>123</v>
      </c>
      <c r="B21" s="631">
        <v>1.42</v>
      </c>
      <c r="C21" s="632" t="s">
        <v>251</v>
      </c>
    </row>
    <row r="22" spans="1:3">
      <c r="A22" s="31" t="s">
        <v>124</v>
      </c>
      <c r="B22" s="38">
        <v>1.05</v>
      </c>
      <c r="C22" s="633" t="s">
        <v>251</v>
      </c>
    </row>
    <row r="23" spans="1:3">
      <c r="B23" s="38"/>
      <c r="C23" s="500"/>
    </row>
    <row r="24" spans="1:3">
      <c r="B24" s="38"/>
      <c r="C24" s="500"/>
    </row>
    <row r="25" spans="1:3">
      <c r="A25" s="579" t="s">
        <v>726</v>
      </c>
    </row>
    <row r="26" spans="1:3">
      <c r="A26" t="s">
        <v>727</v>
      </c>
    </row>
  </sheetData>
  <phoneticPr fontId="63" type="noConversion"/>
  <pageMargins left="0.74791666666666667" right="0.74791666666666667" top="0.98402777777777772" bottom="0.98402777777777772" header="0.51180555555555551" footer="0.5"/>
  <headerFooter alignWithMargins="0">
    <oddFooter>&amp;C&amp;F&amp;R&amp;P of &amp;N</oddFooter>
  </headerFooter>
  <legacy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42</vt:i4>
      </vt:variant>
    </vt:vector>
  </HeadingPairs>
  <TitlesOfParts>
    <vt:vector size="51" baseType="lpstr">
      <vt:lpstr>Cal</vt:lpstr>
      <vt:lpstr>Trim</vt:lpstr>
      <vt:lpstr>Lead Worksheet</vt:lpstr>
      <vt:lpstr>Ballast</vt:lpstr>
      <vt:lpstr>Tank _ PS notes</vt:lpstr>
      <vt:lpstr>Maint</vt:lpstr>
      <vt:lpstr>Pres cal</vt:lpstr>
      <vt:lpstr>Motor Data</vt:lpstr>
      <vt:lpstr>Material</vt:lpstr>
      <vt:lpstr>Alum_density</vt:lpstr>
      <vt:lpstr>batt_roll_angle</vt:lpstr>
      <vt:lpstr>Brass_Density</vt:lpstr>
      <vt:lpstr>CG_2</vt:lpstr>
      <vt:lpstr>comp_VCB</vt:lpstr>
      <vt:lpstr>Complete_Fairing_Vol</vt:lpstr>
      <vt:lpstr>CT_Sail_Vol</vt:lpstr>
      <vt:lpstr>Dead_Oil_Vol</vt:lpstr>
      <vt:lpstr>Displaced_Volume</vt:lpstr>
      <vt:lpstr>Endcap_Vol</vt:lpstr>
      <vt:lpstr>Fiberglass_Density</vt:lpstr>
      <vt:lpstr>Internal_Oil_Vol</vt:lpstr>
      <vt:lpstr>lcg_2</vt:lpstr>
      <vt:lpstr>Lead_Density</vt:lpstr>
      <vt:lpstr>Neoprene_Density</vt:lpstr>
      <vt:lpstr>Oil_density</vt:lpstr>
      <vt:lpstr>Oil_Specific_Gravity_gm_cc</vt:lpstr>
      <vt:lpstr>Oil_wt_2</vt:lpstr>
      <vt:lpstr>Polypropylene_Density</vt:lpstr>
      <vt:lpstr>Cal!Print_Area</vt:lpstr>
      <vt:lpstr>Maint!Print_Area</vt:lpstr>
      <vt:lpstr>'Tank _ PS notes'!Print_Area</vt:lpstr>
      <vt:lpstr>Trim!Print_Area</vt:lpstr>
      <vt:lpstr>PVC_Density</vt:lpstr>
      <vt:lpstr>rho_2</vt:lpstr>
      <vt:lpstr>Roll_2</vt:lpstr>
      <vt:lpstr>Roll_5</vt:lpstr>
      <vt:lpstr>SS_Density</vt:lpstr>
      <vt:lpstr>stroke_2</vt:lpstr>
      <vt:lpstr>stroke_5</vt:lpstr>
      <vt:lpstr>Tot_mom_VCB</vt:lpstr>
      <vt:lpstr>Tot_mom_VCG</vt:lpstr>
      <vt:lpstr>Total_Moment_LCB</vt:lpstr>
      <vt:lpstr>Total_Moment_LCG</vt:lpstr>
      <vt:lpstr>Total_Oil_Vol</vt:lpstr>
      <vt:lpstr>total_scale_weight</vt:lpstr>
      <vt:lpstr>Total_Weight</vt:lpstr>
      <vt:lpstr>Total_Weight_In_Air</vt:lpstr>
      <vt:lpstr>vcg_2</vt:lpstr>
      <vt:lpstr>Vehicle_roll</vt:lpstr>
      <vt:lpstr>Wing_density</vt:lpstr>
      <vt:lpstr>Zinc_Density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dc:creator>
  <cp:lastModifiedBy>Lance Fujieki</cp:lastModifiedBy>
  <cp:revision>1</cp:revision>
  <cp:lastPrinted>2010-01-29T17:18:36Z</cp:lastPrinted>
  <dcterms:created xsi:type="dcterms:W3CDTF">1999-11-08T17:25:34Z</dcterms:created>
  <dcterms:modified xsi:type="dcterms:W3CDTF">2013-02-25T23:33:54Z</dcterms:modified>
</cp:coreProperties>
</file>