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vml" ContentType="application/vnd.openxmlformats-officedocument.vmlDrawing"/>
  <Default Extension="rels" ContentType="application/vnd.openxmlformats-package.relationships+xml"/>
  <Default Extension="emf" ContentType="image/x-em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4" Type="http://schemas.openxmlformats.org/officeDocument/2006/relationships/extended-properties" Target="docProps/app.xml"/><Relationship Id="rId1" Type="http://schemas.openxmlformats.org/officeDocument/2006/relationships/officeDocument" Target="xl/workbook.xml"/><Relationship Id="rId2" Type="http://schemas.openxmlformats.org/package/2006/relationships/metadata/thumbnail" Target="docProps/thumbnail.jpeg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25725"/>
  <workbookPr showInkAnnotation="0" autoCompressPictures="0"/>
  <bookViews>
    <workbookView xWindow="180" yWindow="620" windowWidth="25600" windowHeight="16060" tabRatio="500"/>
  </bookViews>
  <sheets>
    <sheet name="Sample Info" sheetId="2" r:id="rId1"/>
    <sheet name="Gel 1" sheetId="1" r:id="rId2"/>
    <sheet name="Gel 2" sheetId="3" r:id="rId3"/>
    <sheet name="Gel 3" sheetId="4" r:id="rId4"/>
    <sheet name="Gel 4" sheetId="5" r:id="rId5"/>
    <sheet name="Gel 5" sheetId="6" r:id="rId6"/>
    <sheet name="Gel 6" sheetId="7" r:id="rId7"/>
    <sheet name="Amplicons Pooled" sheetId="11" r:id="rId8"/>
  </sheets>
  <definedNames>
    <definedName name="_xlnm.Print_Area" localSheetId="7">'Amplicons Pooled'!$A$2:$C$51</definedName>
  </definedNames>
  <calcPr calcId="140000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N28" i="2" l="1"/>
  <c r="O28" i="2"/>
  <c r="P28" i="2"/>
  <c r="Q28" i="2"/>
  <c r="S28" i="2"/>
  <c r="N40" i="2"/>
  <c r="O40" i="2"/>
  <c r="P40" i="2"/>
  <c r="Q40" i="2"/>
  <c r="S40" i="2"/>
  <c r="N56" i="2"/>
  <c r="O56" i="2"/>
  <c r="P56" i="2"/>
  <c r="Q56" i="2"/>
  <c r="S56" i="2"/>
  <c r="H80" i="2"/>
  <c r="N13" i="2"/>
  <c r="O13" i="2"/>
  <c r="P13" i="2"/>
  <c r="Q13" i="2"/>
  <c r="S13" i="2"/>
  <c r="N25" i="2"/>
  <c r="O25" i="2"/>
  <c r="P25" i="2"/>
  <c r="Q25" i="2"/>
  <c r="R25" i="2"/>
  <c r="S25" i="2"/>
  <c r="N37" i="2"/>
  <c r="O37" i="2"/>
  <c r="P37" i="2"/>
  <c r="Q37" i="2"/>
  <c r="R37" i="2"/>
  <c r="S37" i="2"/>
  <c r="B80" i="2"/>
  <c r="N14" i="2"/>
  <c r="O14" i="2"/>
  <c r="P14" i="2"/>
  <c r="Q14" i="2"/>
  <c r="S14" i="2"/>
  <c r="N26" i="2"/>
  <c r="O26" i="2"/>
  <c r="P26" i="2"/>
  <c r="Q26" i="2"/>
  <c r="R26" i="2"/>
  <c r="S26" i="2"/>
  <c r="N54" i="2"/>
  <c r="O54" i="2"/>
  <c r="P54" i="2"/>
  <c r="Q54" i="2"/>
  <c r="S54" i="2"/>
  <c r="D80" i="2"/>
  <c r="N15" i="2"/>
  <c r="O15" i="2"/>
  <c r="P15" i="2"/>
  <c r="Q15" i="2"/>
  <c r="S15" i="2"/>
  <c r="M27" i="2"/>
  <c r="N27" i="2"/>
  <c r="O27" i="2"/>
  <c r="P27" i="2"/>
  <c r="Q27" i="2"/>
  <c r="S27" i="2"/>
  <c r="N55" i="2"/>
  <c r="O55" i="2"/>
  <c r="P55" i="2"/>
  <c r="Q55" i="2"/>
  <c r="S55" i="2"/>
  <c r="F80" i="2"/>
  <c r="J80" i="2"/>
  <c r="O80" i="2"/>
  <c r="N20" i="2"/>
  <c r="O20" i="2"/>
  <c r="P20" i="2"/>
  <c r="Q20" i="2"/>
  <c r="S20" i="2"/>
  <c r="H81" i="2"/>
  <c r="N17" i="2"/>
  <c r="O17" i="2"/>
  <c r="P17" i="2"/>
  <c r="Q17" i="2"/>
  <c r="S17" i="2"/>
  <c r="B81" i="2"/>
  <c r="N18" i="2"/>
  <c r="O18" i="2"/>
  <c r="P18" i="2"/>
  <c r="Q18" i="2"/>
  <c r="S18" i="2"/>
  <c r="D81" i="2"/>
  <c r="N19" i="2"/>
  <c r="O19" i="2"/>
  <c r="P19" i="2"/>
  <c r="Q19" i="2"/>
  <c r="S19" i="2"/>
  <c r="F81" i="2"/>
  <c r="J81" i="2"/>
  <c r="O81" i="2"/>
  <c r="N24" i="2"/>
  <c r="O24" i="2"/>
  <c r="P24" i="2"/>
  <c r="Q24" i="2"/>
  <c r="S24" i="2"/>
  <c r="H82" i="2"/>
  <c r="N21" i="2"/>
  <c r="O21" i="2"/>
  <c r="P21" i="2"/>
  <c r="Q21" i="2"/>
  <c r="S21" i="2"/>
  <c r="B82" i="2"/>
  <c r="N22" i="2"/>
  <c r="O22" i="2"/>
  <c r="P22" i="2"/>
  <c r="Q22" i="2"/>
  <c r="S22" i="2"/>
  <c r="D82" i="2"/>
  <c r="F82" i="2"/>
  <c r="J82" i="2"/>
  <c r="O82" i="2"/>
  <c r="N44" i="2"/>
  <c r="O44" i="2"/>
  <c r="P44" i="2"/>
  <c r="Q44" i="2"/>
  <c r="S44" i="2"/>
  <c r="H83" i="2"/>
  <c r="N41" i="2"/>
  <c r="O41" i="2"/>
  <c r="P41" i="2"/>
  <c r="Q41" i="2"/>
  <c r="R41" i="2"/>
  <c r="S41" i="2"/>
  <c r="B83" i="2"/>
  <c r="N42" i="2"/>
  <c r="O42" i="2"/>
  <c r="P42" i="2"/>
  <c r="Q42" i="2"/>
  <c r="R42" i="2"/>
  <c r="S42" i="2"/>
  <c r="D83" i="2"/>
  <c r="J83" i="2"/>
  <c r="O83" i="2"/>
  <c r="N32" i="2"/>
  <c r="O32" i="2"/>
  <c r="P32" i="2"/>
  <c r="Q32" i="2"/>
  <c r="S32" i="2"/>
  <c r="H84" i="2"/>
  <c r="N29" i="2"/>
  <c r="O29" i="2"/>
  <c r="P29" i="2"/>
  <c r="Q29" i="2"/>
  <c r="R29" i="2"/>
  <c r="S29" i="2"/>
  <c r="B84" i="2"/>
  <c r="N30" i="2"/>
  <c r="O30" i="2"/>
  <c r="P30" i="2"/>
  <c r="Q30" i="2"/>
  <c r="R30" i="2"/>
  <c r="S30" i="2"/>
  <c r="D84" i="2"/>
  <c r="N31" i="2"/>
  <c r="O31" i="2"/>
  <c r="P31" i="2"/>
  <c r="Q31" i="2"/>
  <c r="S31" i="2"/>
  <c r="F84" i="2"/>
  <c r="J84" i="2"/>
  <c r="O84" i="2"/>
  <c r="N36" i="2"/>
  <c r="O36" i="2"/>
  <c r="P36" i="2"/>
  <c r="Q36" i="2"/>
  <c r="S36" i="2"/>
  <c r="H85" i="2"/>
  <c r="N33" i="2"/>
  <c r="O33" i="2"/>
  <c r="P33" i="2"/>
  <c r="Q33" i="2"/>
  <c r="R33" i="2"/>
  <c r="S33" i="2"/>
  <c r="B85" i="2"/>
  <c r="N34" i="2"/>
  <c r="O34" i="2"/>
  <c r="P34" i="2"/>
  <c r="Q34" i="2"/>
  <c r="R34" i="2"/>
  <c r="S34" i="2"/>
  <c r="D85" i="2"/>
  <c r="J85" i="2"/>
  <c r="O85" i="2"/>
  <c r="N48" i="2"/>
  <c r="O48" i="2"/>
  <c r="P48" i="2"/>
  <c r="Q48" i="2"/>
  <c r="S48" i="2"/>
  <c r="H86" i="2"/>
  <c r="N45" i="2"/>
  <c r="O45" i="2"/>
  <c r="P45" i="2"/>
  <c r="Q45" i="2"/>
  <c r="R45" i="2"/>
  <c r="S45" i="2"/>
  <c r="B86" i="2"/>
  <c r="N46" i="2"/>
  <c r="O46" i="2"/>
  <c r="P46" i="2"/>
  <c r="Q46" i="2"/>
  <c r="R46" i="2"/>
  <c r="S46" i="2"/>
  <c r="D86" i="2"/>
  <c r="J86" i="2"/>
  <c r="O86" i="2"/>
  <c r="N52" i="2"/>
  <c r="O52" i="2"/>
  <c r="P52" i="2"/>
  <c r="Q52" i="2"/>
  <c r="S52" i="2"/>
  <c r="H87" i="2"/>
  <c r="N49" i="2"/>
  <c r="O49" i="2"/>
  <c r="P49" i="2"/>
  <c r="Q49" i="2"/>
  <c r="R49" i="2"/>
  <c r="S49" i="2"/>
  <c r="B87" i="2"/>
  <c r="N50" i="2"/>
  <c r="O50" i="2"/>
  <c r="P50" i="2"/>
  <c r="Q50" i="2"/>
  <c r="R50" i="2"/>
  <c r="S50" i="2"/>
  <c r="D87" i="2"/>
  <c r="J87" i="2"/>
  <c r="O87" i="2"/>
  <c r="O89" i="2"/>
  <c r="N80" i="2"/>
  <c r="N81" i="2"/>
  <c r="N82" i="2"/>
  <c r="N83" i="2"/>
  <c r="N84" i="2"/>
  <c r="N85" i="2"/>
  <c r="N86" i="2"/>
  <c r="N87" i="2"/>
  <c r="N89" i="2"/>
  <c r="M80" i="2"/>
  <c r="M81" i="2"/>
  <c r="M82" i="2"/>
  <c r="M83" i="2"/>
  <c r="M84" i="2"/>
  <c r="M85" i="2"/>
  <c r="M86" i="2"/>
  <c r="M87" i="2"/>
  <c r="M89" i="2"/>
  <c r="L80" i="2"/>
  <c r="L81" i="2"/>
  <c r="L82" i="2"/>
  <c r="L83" i="2"/>
  <c r="L84" i="2"/>
  <c r="L85" i="2"/>
  <c r="L86" i="2"/>
  <c r="L87" i="2"/>
  <c r="L89" i="2"/>
  <c r="O88" i="2"/>
  <c r="N88" i="2"/>
  <c r="M88" i="2"/>
  <c r="L88" i="2"/>
  <c r="V13" i="2"/>
  <c r="Z13" i="2"/>
  <c r="V14" i="2"/>
  <c r="Z14" i="2"/>
  <c r="V15" i="2"/>
  <c r="Z15" i="2"/>
  <c r="V16" i="2"/>
  <c r="Z16" i="2"/>
  <c r="V17" i="2"/>
  <c r="Z17" i="2"/>
  <c r="V18" i="2"/>
  <c r="Z18" i="2"/>
  <c r="V19" i="2"/>
  <c r="Z19" i="2"/>
  <c r="V20" i="2"/>
  <c r="Z20" i="2"/>
  <c r="V21" i="2"/>
  <c r="Z21" i="2"/>
  <c r="V22" i="2"/>
  <c r="Z22" i="2"/>
  <c r="V23" i="2"/>
  <c r="Z23" i="2"/>
  <c r="V24" i="2"/>
  <c r="Z24" i="2"/>
  <c r="V25" i="2"/>
  <c r="Z25" i="2"/>
  <c r="V26" i="2"/>
  <c r="Z26" i="2"/>
  <c r="V27" i="2"/>
  <c r="Z27" i="2"/>
  <c r="V28" i="2"/>
  <c r="Z28" i="2"/>
  <c r="V29" i="2"/>
  <c r="Z29" i="2"/>
  <c r="V30" i="2"/>
  <c r="Z30" i="2"/>
  <c r="V31" i="2"/>
  <c r="Z31" i="2"/>
  <c r="V32" i="2"/>
  <c r="Z32" i="2"/>
  <c r="V33" i="2"/>
  <c r="Z33" i="2"/>
  <c r="V34" i="2"/>
  <c r="Z34" i="2"/>
  <c r="V35" i="2"/>
  <c r="Z35" i="2"/>
  <c r="V36" i="2"/>
  <c r="Z36" i="2"/>
  <c r="V37" i="2"/>
  <c r="Z37" i="2"/>
  <c r="V38" i="2"/>
  <c r="Z38" i="2"/>
  <c r="V39" i="2"/>
  <c r="Z39" i="2"/>
  <c r="V40" i="2"/>
  <c r="Z40" i="2"/>
  <c r="V41" i="2"/>
  <c r="Z41" i="2"/>
  <c r="V42" i="2"/>
  <c r="Z42" i="2"/>
  <c r="V43" i="2"/>
  <c r="Z43" i="2"/>
  <c r="V44" i="2"/>
  <c r="Z44" i="2"/>
  <c r="V45" i="2"/>
  <c r="Z45" i="2"/>
  <c r="V46" i="2"/>
  <c r="Z46" i="2"/>
  <c r="V47" i="2"/>
  <c r="Z47" i="2"/>
  <c r="V48" i="2"/>
  <c r="Z48" i="2"/>
  <c r="V49" i="2"/>
  <c r="Z49" i="2"/>
  <c r="V50" i="2"/>
  <c r="Z50" i="2"/>
  <c r="V51" i="2"/>
  <c r="Z51" i="2"/>
  <c r="V52" i="2"/>
  <c r="Z52" i="2"/>
  <c r="V54" i="2"/>
  <c r="Z54" i="2"/>
  <c r="V55" i="2"/>
  <c r="Z55" i="2"/>
  <c r="V56" i="2"/>
  <c r="Z56" i="2"/>
  <c r="V63" i="2"/>
  <c r="Z63" i="2"/>
  <c r="V66" i="2"/>
  <c r="Z66" i="2"/>
  <c r="V67" i="2"/>
  <c r="Z67" i="2"/>
  <c r="V68" i="2"/>
  <c r="Z68" i="2"/>
  <c r="V69" i="2"/>
  <c r="Z69" i="2"/>
  <c r="Z74" i="2"/>
  <c r="I80" i="2"/>
  <c r="C80" i="2"/>
  <c r="E80" i="2"/>
  <c r="G80" i="2"/>
  <c r="K80" i="2"/>
  <c r="N73" i="2"/>
  <c r="K74" i="2"/>
  <c r="N74" i="2"/>
  <c r="O74" i="2"/>
  <c r="N72" i="2"/>
  <c r="N71" i="2"/>
  <c r="N70" i="2"/>
  <c r="N67" i="2"/>
  <c r="N65" i="2"/>
  <c r="N64" i="2"/>
  <c r="N61" i="2"/>
  <c r="N60" i="2"/>
  <c r="N59" i="2"/>
  <c r="N58" i="2"/>
  <c r="N57" i="2"/>
  <c r="N51" i="2"/>
  <c r="N47" i="2"/>
  <c r="N43" i="2"/>
  <c r="N39" i="2"/>
  <c r="N38" i="2"/>
  <c r="N35" i="2"/>
  <c r="N23" i="2"/>
  <c r="N16" i="2"/>
  <c r="P53" i="2"/>
  <c r="Q53" i="2"/>
  <c r="O57" i="2"/>
  <c r="P57" i="2"/>
  <c r="Q57" i="2"/>
  <c r="O58" i="2"/>
  <c r="P58" i="2"/>
  <c r="Q58" i="2"/>
  <c r="O59" i="2"/>
  <c r="P59" i="2"/>
  <c r="Q59" i="2"/>
  <c r="O60" i="2"/>
  <c r="P60" i="2"/>
  <c r="Q60" i="2"/>
  <c r="O61" i="2"/>
  <c r="P61" i="2"/>
  <c r="Q61" i="2"/>
  <c r="O62" i="2"/>
  <c r="P62" i="2"/>
  <c r="Q62" i="2"/>
  <c r="O63" i="2"/>
  <c r="P63" i="2"/>
  <c r="Q63" i="2"/>
  <c r="O64" i="2"/>
  <c r="P64" i="2"/>
  <c r="Q64" i="2"/>
  <c r="O65" i="2"/>
  <c r="P65" i="2"/>
  <c r="Q65" i="2"/>
  <c r="O66" i="2"/>
  <c r="P66" i="2"/>
  <c r="Q66" i="2"/>
  <c r="O67" i="2"/>
  <c r="P67" i="2"/>
  <c r="Q67" i="2"/>
  <c r="O68" i="2"/>
  <c r="P68" i="2"/>
  <c r="Q68" i="2"/>
  <c r="O69" i="2"/>
  <c r="P69" i="2"/>
  <c r="Q69" i="2"/>
  <c r="O70" i="2"/>
  <c r="P70" i="2"/>
  <c r="Q70" i="2"/>
  <c r="O71" i="2"/>
  <c r="P71" i="2"/>
  <c r="Q71" i="2"/>
  <c r="O72" i="2"/>
  <c r="P72" i="2"/>
  <c r="Q72" i="2"/>
  <c r="O73" i="2"/>
  <c r="P73" i="2"/>
  <c r="Q73" i="2"/>
  <c r="O35" i="2"/>
  <c r="P35" i="2"/>
  <c r="Q35" i="2"/>
  <c r="O38" i="2"/>
  <c r="P38" i="2"/>
  <c r="Q38" i="2"/>
  <c r="O39" i="2"/>
  <c r="P39" i="2"/>
  <c r="Q39" i="2"/>
  <c r="O43" i="2"/>
  <c r="P43" i="2"/>
  <c r="Q43" i="2"/>
  <c r="O47" i="2"/>
  <c r="P47" i="2"/>
  <c r="Q47" i="2"/>
  <c r="O51" i="2"/>
  <c r="P51" i="2"/>
  <c r="Q51" i="2"/>
  <c r="S35" i="2"/>
  <c r="R38" i="2"/>
  <c r="S38" i="2"/>
  <c r="S39" i="2"/>
  <c r="S43" i="2"/>
  <c r="S47" i="2"/>
  <c r="S51" i="2"/>
  <c r="S57" i="2"/>
  <c r="S58" i="2"/>
  <c r="S59" i="2"/>
  <c r="S60" i="2"/>
  <c r="S61" i="2"/>
  <c r="S62" i="2"/>
  <c r="S63" i="2"/>
  <c r="S64" i="2"/>
  <c r="S65" i="2"/>
  <c r="S66" i="2"/>
  <c r="S67" i="2"/>
  <c r="S68" i="2"/>
  <c r="S69" i="2"/>
  <c r="S70" i="2"/>
  <c r="S71" i="2"/>
  <c r="S72" i="2"/>
  <c r="S73" i="2"/>
  <c r="O23" i="2"/>
  <c r="P23" i="2"/>
  <c r="Q23" i="2"/>
  <c r="S23" i="2"/>
  <c r="O16" i="2"/>
  <c r="P16" i="2"/>
  <c r="Q16" i="2"/>
  <c r="S16" i="2"/>
  <c r="AA69" i="2"/>
  <c r="AA68" i="2"/>
  <c r="AA67" i="2"/>
  <c r="AA66" i="2"/>
  <c r="AA63" i="2"/>
  <c r="AA56" i="2"/>
  <c r="AA55" i="2"/>
  <c r="AA54" i="2"/>
  <c r="AA14" i="2"/>
  <c r="AA15" i="2"/>
  <c r="AA16" i="2"/>
  <c r="AA17" i="2"/>
  <c r="AA18" i="2"/>
  <c r="AA19" i="2"/>
  <c r="AA20" i="2"/>
  <c r="AA21" i="2"/>
  <c r="AA22" i="2"/>
  <c r="AA23" i="2"/>
  <c r="AA24" i="2"/>
  <c r="AA25" i="2"/>
  <c r="AA26" i="2"/>
  <c r="AA27" i="2"/>
  <c r="AA28" i="2"/>
  <c r="AA29" i="2"/>
  <c r="AA30" i="2"/>
  <c r="AA31" i="2"/>
  <c r="AA32" i="2"/>
  <c r="AA33" i="2"/>
  <c r="AA34" i="2"/>
  <c r="AA35" i="2"/>
  <c r="AA36" i="2"/>
  <c r="AA37" i="2"/>
  <c r="AA38" i="2"/>
  <c r="AA39" i="2"/>
  <c r="AA40" i="2"/>
  <c r="AA41" i="2"/>
  <c r="AA42" i="2"/>
  <c r="AA43" i="2"/>
  <c r="AA44" i="2"/>
  <c r="AA45" i="2"/>
  <c r="AA46" i="2"/>
  <c r="AA47" i="2"/>
  <c r="AA48" i="2"/>
  <c r="AA49" i="2"/>
  <c r="AA50" i="2"/>
  <c r="AA51" i="2"/>
  <c r="AA52" i="2"/>
  <c r="AA13" i="2"/>
  <c r="X63" i="2"/>
  <c r="X56" i="2"/>
  <c r="X55" i="2"/>
  <c r="X54" i="2"/>
  <c r="X16" i="2"/>
  <c r="X17" i="2"/>
  <c r="X18" i="2"/>
  <c r="X19" i="2"/>
  <c r="X20" i="2"/>
  <c r="X21" i="2"/>
  <c r="X22" i="2"/>
  <c r="X23" i="2"/>
  <c r="X24" i="2"/>
  <c r="X25" i="2"/>
  <c r="X26" i="2"/>
  <c r="X27" i="2"/>
  <c r="X28" i="2"/>
  <c r="X29" i="2"/>
  <c r="X30" i="2"/>
  <c r="X31" i="2"/>
  <c r="X32" i="2"/>
  <c r="X33" i="2"/>
  <c r="X34" i="2"/>
  <c r="X35" i="2"/>
  <c r="X36" i="2"/>
  <c r="X37" i="2"/>
  <c r="X38" i="2"/>
  <c r="X39" i="2"/>
  <c r="X40" i="2"/>
  <c r="X41" i="2"/>
  <c r="X42" i="2"/>
  <c r="X43" i="2"/>
  <c r="X44" i="2"/>
  <c r="X45" i="2"/>
  <c r="X46" i="2"/>
  <c r="X47" i="2"/>
  <c r="X48" i="2"/>
  <c r="X49" i="2"/>
  <c r="X50" i="2"/>
  <c r="X51" i="2"/>
  <c r="X52" i="2"/>
  <c r="X14" i="2"/>
  <c r="X15" i="2"/>
  <c r="W69" i="2"/>
  <c r="W68" i="2"/>
  <c r="W67" i="2"/>
  <c r="W66" i="2"/>
  <c r="W63" i="2"/>
  <c r="W56" i="2"/>
  <c r="W55" i="2"/>
  <c r="W54" i="2"/>
  <c r="W14" i="2"/>
  <c r="W15" i="2"/>
  <c r="W16" i="2"/>
  <c r="W17" i="2"/>
  <c r="W18" i="2"/>
  <c r="W19" i="2"/>
  <c r="W20" i="2"/>
  <c r="W21" i="2"/>
  <c r="W22" i="2"/>
  <c r="W23" i="2"/>
  <c r="W24" i="2"/>
  <c r="W25" i="2"/>
  <c r="W26" i="2"/>
  <c r="W27" i="2"/>
  <c r="W28" i="2"/>
  <c r="W29" i="2"/>
  <c r="W30" i="2"/>
  <c r="W31" i="2"/>
  <c r="W32" i="2"/>
  <c r="W33" i="2"/>
  <c r="W34" i="2"/>
  <c r="W35" i="2"/>
  <c r="W36" i="2"/>
  <c r="W37" i="2"/>
  <c r="W38" i="2"/>
  <c r="W39" i="2"/>
  <c r="W40" i="2"/>
  <c r="W41" i="2"/>
  <c r="W42" i="2"/>
  <c r="W43" i="2"/>
  <c r="W44" i="2"/>
  <c r="W45" i="2"/>
  <c r="W46" i="2"/>
  <c r="W47" i="2"/>
  <c r="W48" i="2"/>
  <c r="W49" i="2"/>
  <c r="W50" i="2"/>
  <c r="W51" i="2"/>
  <c r="W52" i="2"/>
  <c r="W13" i="2"/>
  <c r="X13" i="2"/>
</calcChain>
</file>

<file path=xl/comments1.xml><?xml version="1.0" encoding="utf-8"?>
<comments xmlns="http://schemas.openxmlformats.org/spreadsheetml/2006/main">
  <authors>
    <author>Grieg Steward</author>
  </authors>
  <commentList>
    <comment ref="L12" authorId="0">
      <text>
        <r>
          <rPr>
            <b/>
            <sz val="9"/>
            <color indexed="81"/>
            <rFont val="Helvetica"/>
            <family val="2"/>
          </rPr>
          <t>Grieg Steward:</t>
        </r>
        <r>
          <rPr>
            <sz val="9"/>
            <color indexed="81"/>
            <rFont val="Helvetica"/>
            <family val="2"/>
          </rPr>
          <t xml:space="preserve">
Correction factor needed because we only used 5 µl of each standard, but Qubit machine was expecting 10 µl</t>
        </r>
      </text>
    </comment>
    <comment ref="P12" authorId="0">
      <text>
        <r>
          <rPr>
            <b/>
            <sz val="9"/>
            <color indexed="81"/>
            <rFont val="Helvetica"/>
            <family val="2"/>
          </rPr>
          <t>Grieg Steward:</t>
        </r>
        <r>
          <rPr>
            <sz val="9"/>
            <color indexed="81"/>
            <rFont val="Helvetica"/>
            <family val="2"/>
          </rPr>
          <t xml:space="preserve">
When Calculating total DNA extracted, this number accounts for the fact that we only transferred a portion of the supernatant after protein precipitation. The ret was archived.</t>
        </r>
      </text>
    </comment>
  </commentList>
</comments>
</file>

<file path=xl/sharedStrings.xml><?xml version="1.0" encoding="utf-8"?>
<sst xmlns="http://schemas.openxmlformats.org/spreadsheetml/2006/main" count="420" uniqueCount="253">
  <si>
    <t>Extract #</t>
  </si>
  <si>
    <t xml:space="preserve">Total ng </t>
  </si>
  <si>
    <t>Primer Code</t>
  </si>
  <si>
    <t>Nominal Vol to Pool (µl)</t>
  </si>
  <si>
    <t>Est. ng added to pool</t>
  </si>
  <si>
    <t>Est Volume Remaining</t>
  </si>
  <si>
    <t>Purified Extract Volume (µl)</t>
  </si>
  <si>
    <t>Assay Dilution Factor</t>
  </si>
  <si>
    <t>Total µg Extracted</t>
  </si>
  <si>
    <t>A1</t>
  </si>
  <si>
    <t>A3</t>
  </si>
  <si>
    <t>A6</t>
  </si>
  <si>
    <t>A2</t>
  </si>
  <si>
    <t>&gt;0.02</t>
  </si>
  <si>
    <t>A10</t>
  </si>
  <si>
    <t>A7</t>
  </si>
  <si>
    <t>A4</t>
  </si>
  <si>
    <t>A11</t>
  </si>
  <si>
    <t>A5</t>
  </si>
  <si>
    <t>&gt;0.2</t>
  </si>
  <si>
    <t>A8</t>
  </si>
  <si>
    <t>A12</t>
  </si>
  <si>
    <t>A9</t>
  </si>
  <si>
    <t>Depth (m)</t>
  </si>
  <si>
    <t>Date (YYYMMDD)</t>
  </si>
  <si>
    <t>ng per ml (in assay tube)</t>
  </si>
  <si>
    <t>Portion of extract processed</t>
  </si>
  <si>
    <t>?</t>
  </si>
  <si>
    <t>µg DNA per L seawater  filtered</t>
  </si>
  <si>
    <t>DNA Extractions</t>
  </si>
  <si>
    <t>Conc in PCR Rxn Tube (ng/µl)</t>
  </si>
  <si>
    <t>Conc in assay tube ng/ml (100x diluted)</t>
  </si>
  <si>
    <t>Total PCR yield (ng)</t>
  </si>
  <si>
    <t>various</t>
  </si>
  <si>
    <t>Sample Information</t>
  </si>
  <si>
    <t>Size Fraction Labels</t>
  </si>
  <si>
    <t>Meaning</t>
  </si>
  <si>
    <t>Filter material</t>
  </si>
  <si>
    <t>≥ 3.0 µm</t>
  </si>
  <si>
    <t>&lt;3.0 µm ≥ 0.6µm</t>
  </si>
  <si>
    <t>&lt;0.6 µm ≥ 0.2 µm</t>
  </si>
  <si>
    <t>&lt;0.2 µm ≥ 0.02 µm</t>
  </si>
  <si>
    <t>Polyethersulfone (Supor, Millipore)</t>
  </si>
  <si>
    <t>Polycarbonate track-etch (Isopore, Millipore)</t>
  </si>
  <si>
    <t>Aluminum oxide (Anotop, Whatman)</t>
  </si>
  <si>
    <t>≥ 0.2 µm (whole water direct)</t>
  </si>
  <si>
    <t>≥ 0.02 µm (whole water direct)</t>
  </si>
  <si>
    <t>Information on PCR Amplifications used for Pooled Tag Sequencing</t>
  </si>
  <si>
    <t>Pooled Purified Amplicons</t>
  </si>
  <si>
    <t>S02C08B14</t>
  </si>
  <si>
    <t>S02C08B5/6</t>
  </si>
  <si>
    <t>S02C08B2/3</t>
  </si>
  <si>
    <t>Extract</t>
  </si>
  <si>
    <t>Strip-Tube</t>
  </si>
  <si>
    <t>1-1</t>
  </si>
  <si>
    <t>1-2</t>
  </si>
  <si>
    <t>1-3</t>
  </si>
  <si>
    <t>1-4</t>
  </si>
  <si>
    <t>1-5</t>
  </si>
  <si>
    <t>1-6</t>
  </si>
  <si>
    <t>1-7</t>
  </si>
  <si>
    <t>1-8</t>
  </si>
  <si>
    <t>2-1</t>
  </si>
  <si>
    <t>2-2</t>
  </si>
  <si>
    <t>2-3</t>
  </si>
  <si>
    <t>2-4</t>
  </si>
  <si>
    <t>2-5</t>
  </si>
  <si>
    <t>2-6</t>
  </si>
  <si>
    <t>2-7</t>
  </si>
  <si>
    <t>2-8</t>
  </si>
  <si>
    <t>3-1</t>
  </si>
  <si>
    <t>3-2</t>
  </si>
  <si>
    <t>3-3</t>
  </si>
  <si>
    <t>3-4</t>
  </si>
  <si>
    <t>3-5</t>
  </si>
  <si>
    <t>3-6</t>
  </si>
  <si>
    <t>3-7</t>
  </si>
  <si>
    <t>3-8</t>
  </si>
  <si>
    <t>15-1</t>
  </si>
  <si>
    <t>15-2</t>
  </si>
  <si>
    <t>5-2</t>
  </si>
  <si>
    <t>6-2</t>
  </si>
  <si>
    <t>5-3</t>
  </si>
  <si>
    <t>6-3</t>
  </si>
  <si>
    <t>5-4</t>
  </si>
  <si>
    <t>5-5</t>
  </si>
  <si>
    <t>6-5</t>
  </si>
  <si>
    <t>5-6</t>
  </si>
  <si>
    <t>6-6</t>
  </si>
  <si>
    <t>5-7</t>
  </si>
  <si>
    <t>6-7</t>
  </si>
  <si>
    <t>5-8</t>
  </si>
  <si>
    <t>6-8</t>
  </si>
  <si>
    <t>7-1</t>
  </si>
  <si>
    <t>7-2</t>
  </si>
  <si>
    <t>8-2</t>
  </si>
  <si>
    <t>7-3</t>
  </si>
  <si>
    <t>8-3</t>
  </si>
  <si>
    <t>7-4</t>
  </si>
  <si>
    <t>8-4</t>
  </si>
  <si>
    <t>13-1</t>
  </si>
  <si>
    <t>14-1</t>
  </si>
  <si>
    <t>13-2</t>
  </si>
  <si>
    <t>14-2</t>
  </si>
  <si>
    <t>13-3</t>
  </si>
  <si>
    <t>14-3</t>
  </si>
  <si>
    <t>11-4</t>
  </si>
  <si>
    <t>14-4</t>
  </si>
  <si>
    <t>13-5</t>
  </si>
  <si>
    <t>14-5</t>
  </si>
  <si>
    <t>13-6</t>
  </si>
  <si>
    <t>14-6</t>
  </si>
  <si>
    <t>13-7</t>
  </si>
  <si>
    <t>14-7</t>
  </si>
  <si>
    <t>13-8</t>
  </si>
  <si>
    <t>14-8</t>
  </si>
  <si>
    <t>16-1</t>
  </si>
  <si>
    <t>17-1</t>
  </si>
  <si>
    <t>16-2</t>
  </si>
  <si>
    <t>17-2</t>
  </si>
  <si>
    <t>17-3</t>
  </si>
  <si>
    <t>16-4</t>
  </si>
  <si>
    <t>17-4</t>
  </si>
  <si>
    <t>16-5</t>
  </si>
  <si>
    <t>17-5</t>
  </si>
  <si>
    <t>16-6</t>
  </si>
  <si>
    <t>17-6</t>
  </si>
  <si>
    <t>16-7</t>
  </si>
  <si>
    <t>17-7</t>
  </si>
  <si>
    <t>16-8</t>
  </si>
  <si>
    <t>17-8</t>
  </si>
  <si>
    <t>19-2</t>
  </si>
  <si>
    <t>20-2</t>
  </si>
  <si>
    <t>19-3</t>
  </si>
  <si>
    <t>20-3</t>
  </si>
  <si>
    <t>19-4</t>
  </si>
  <si>
    <t>20-4</t>
  </si>
  <si>
    <t>19-7</t>
  </si>
  <si>
    <t>20-7</t>
  </si>
  <si>
    <t>19-8</t>
  </si>
  <si>
    <t>20-8</t>
  </si>
  <si>
    <t>6-4</t>
  </si>
  <si>
    <t>B1</t>
  </si>
  <si>
    <t>B2</t>
  </si>
  <si>
    <t>B3</t>
  </si>
  <si>
    <t>B4</t>
  </si>
  <si>
    <t>B5</t>
  </si>
  <si>
    <t>B6</t>
  </si>
  <si>
    <t>B7</t>
  </si>
  <si>
    <t>B8</t>
  </si>
  <si>
    <t>B9</t>
  </si>
  <si>
    <t>B10</t>
  </si>
  <si>
    <t>B11</t>
  </si>
  <si>
    <t>B12</t>
  </si>
  <si>
    <t>8-1</t>
  </si>
  <si>
    <t>16-3</t>
  </si>
  <si>
    <t>S02C20B5/6</t>
  </si>
  <si>
    <t>S02C20B1/2</t>
  </si>
  <si>
    <t>DCM</t>
  </si>
  <si>
    <t>C1</t>
  </si>
  <si>
    <t>C2</t>
  </si>
  <si>
    <t>C3</t>
  </si>
  <si>
    <t>C4</t>
  </si>
  <si>
    <t>C5</t>
  </si>
  <si>
    <t>C6</t>
  </si>
  <si>
    <t>C7</t>
  </si>
  <si>
    <t>C8</t>
  </si>
  <si>
    <t>C9</t>
  </si>
  <si>
    <t>C10</t>
  </si>
  <si>
    <t>C11</t>
  </si>
  <si>
    <t>C12</t>
  </si>
  <si>
    <t>D1</t>
  </si>
  <si>
    <t>D2</t>
  </si>
  <si>
    <t>D3</t>
  </si>
  <si>
    <t>D4</t>
  </si>
  <si>
    <t>D5</t>
  </si>
  <si>
    <t>D6</t>
  </si>
  <si>
    <t>D7</t>
  </si>
  <si>
    <t>D8</t>
  </si>
  <si>
    <t>D9</t>
  </si>
  <si>
    <t>D10</t>
  </si>
  <si>
    <t>D11</t>
  </si>
  <si>
    <t>D12</t>
  </si>
  <si>
    <t>NA</t>
  </si>
  <si>
    <t>Liters filtered or Cells Sorted</t>
  </si>
  <si>
    <t>Vol needed for 100 ng (µl)</t>
  </si>
  <si>
    <t>ng per µl (in extract tube)</t>
  </si>
  <si>
    <t>Correction Factor</t>
  </si>
  <si>
    <t>Filter Size Fraction or Sorted Cell Fraction</t>
  </si>
  <si>
    <t>Sample ID       (Station, Cast, Bottle)</t>
  </si>
  <si>
    <t>Other Comments</t>
  </si>
  <si>
    <t>Freeze-thawed</t>
  </si>
  <si>
    <t>Formalin fixed</t>
  </si>
  <si>
    <t>LNA sort</t>
  </si>
  <si>
    <t>HNA sort</t>
  </si>
  <si>
    <t>All NA sort</t>
  </si>
  <si>
    <t>S02C14B15</t>
  </si>
  <si>
    <t>No Water</t>
  </si>
  <si>
    <t>&lt;0.5</t>
  </si>
  <si>
    <t>Fixed?</t>
  </si>
  <si>
    <t>23-4</t>
  </si>
  <si>
    <t>23-5</t>
  </si>
  <si>
    <t>23-6</t>
  </si>
  <si>
    <t>Successful Amplicons to Combine in Pool</t>
  </si>
  <si>
    <t>Duplicate amplicons for the extracts below were were combined, then quantified (in a few cases only a single reaction was done). The combined amplicons for each of the etracts below were then pooled in roughly equal mass amounts then gel purified to create the final</t>
  </si>
  <si>
    <t>√</t>
  </si>
  <si>
    <t>all pooled</t>
  </si>
  <si>
    <t>sd</t>
  </si>
  <si>
    <t xml:space="preserve">Percent of DNA in </t>
  </si>
  <si>
    <t>SD</t>
  </si>
  <si>
    <t>&gt;3</t>
  </si>
  <si>
    <t>3 to 0.6</t>
  </si>
  <si>
    <t>0.6 to 0.2</t>
  </si>
  <si>
    <t>0.2 to 0.03</t>
  </si>
  <si>
    <t>mean</t>
  </si>
  <si>
    <t>Chosen for Sequencing</t>
  </si>
  <si>
    <t xml:space="preserve">Amplicon </t>
  </si>
  <si>
    <t>Meta-genome</t>
  </si>
  <si>
    <t>Various</t>
  </si>
  <si>
    <t>Est. ng in total pool:</t>
  </si>
  <si>
    <t>Sum of Fractions</t>
  </si>
  <si>
    <t>S02C13B03</t>
  </si>
  <si>
    <t>S02C20B04</t>
  </si>
  <si>
    <t>S02C20B09</t>
  </si>
  <si>
    <t>S02C25B05</t>
  </si>
  <si>
    <t>S02C25B15</t>
  </si>
  <si>
    <t>S02C08B05</t>
  </si>
  <si>
    <t>S02C07B13</t>
  </si>
  <si>
    <t>S02C14B07</t>
  </si>
  <si>
    <t>S02C02B06</t>
  </si>
  <si>
    <t>S02C02B04</t>
  </si>
  <si>
    <t>S02C02B02</t>
  </si>
  <si>
    <t>µg DNA per L</t>
  </si>
  <si>
    <t>&gt;3 µm</t>
  </si>
  <si>
    <t>3 to 0.6 µm</t>
  </si>
  <si>
    <t>0.6 to 0.2 µm</t>
  </si>
  <si>
    <t>0.2 to 0.03 µm</t>
  </si>
  <si>
    <t>Highlighted in red means did not get data.</t>
  </si>
  <si>
    <t>Metagen. Reads</t>
  </si>
  <si>
    <t>                885,300</t>
  </si>
  <si>
    <t>             1,127,977</t>
  </si>
  <si>
    <t>                848,413</t>
  </si>
  <si>
    <t>                 58,904</t>
  </si>
  <si>
    <t>                943,140</t>
  </si>
  <si>
    <t>                802,443</t>
  </si>
  <si>
    <t>                803,149</t>
  </si>
  <si>
    <t>                261,888</t>
  </si>
  <si>
    <t>                540,795</t>
  </si>
  <si>
    <t>                878,428</t>
  </si>
  <si>
    <t>                628,269</t>
  </si>
  <si>
    <t>                254,077</t>
  </si>
  <si>
    <t>                236,692</t>
  </si>
  <si>
    <t>DNA recovered per L seawater filtered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</si>
</sst>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0;[Red]0"/>
    <numFmt numFmtId="165" formatCode="0.000"/>
    <numFmt numFmtId="166" formatCode="0.0"/>
  </numFmts>
  <fonts count="17" x14ac:knownFonts="1">
    <font>
      <sz val="12"/>
      <color theme="1"/>
      <name val="Helvetica"/>
      <family val="2"/>
    </font>
    <font>
      <b/>
      <sz val="12"/>
      <color theme="1"/>
      <name val="Helvetica"/>
      <family val="2"/>
    </font>
    <font>
      <sz val="12"/>
      <color rgb="FF000000"/>
      <name val="Helvetica"/>
      <family val="2"/>
    </font>
    <font>
      <sz val="10"/>
      <name val="Geneva"/>
    </font>
    <font>
      <u/>
      <sz val="12"/>
      <color theme="10"/>
      <name val="Helvetica"/>
      <family val="2"/>
    </font>
    <font>
      <u/>
      <sz val="12"/>
      <color theme="11"/>
      <name val="Helvetica"/>
      <family val="2"/>
    </font>
    <font>
      <i/>
      <sz val="12"/>
      <color rgb="FF000000"/>
      <name val="Helvetica"/>
    </font>
    <font>
      <i/>
      <sz val="12"/>
      <color theme="1"/>
      <name val="Helvetica"/>
    </font>
    <font>
      <b/>
      <i/>
      <sz val="12"/>
      <color theme="1"/>
      <name val="Helvetica"/>
    </font>
    <font>
      <sz val="12"/>
      <color rgb="FF000000"/>
      <name val="Calibri"/>
      <family val="2"/>
    </font>
    <font>
      <sz val="8"/>
      <name val="Helvetica"/>
      <family val="2"/>
    </font>
    <font>
      <sz val="12"/>
      <name val="Helvetica"/>
    </font>
    <font>
      <sz val="12"/>
      <color theme="1"/>
      <name val="Helvetica"/>
      <family val="2"/>
    </font>
    <font>
      <sz val="9"/>
      <color indexed="81"/>
      <name val="Helvetica"/>
      <family val="2"/>
    </font>
    <font>
      <b/>
      <sz val="9"/>
      <color indexed="81"/>
      <name val="Helvetica"/>
      <family val="2"/>
    </font>
    <font>
      <sz val="13"/>
      <color rgb="FF000000"/>
      <name val="Arial"/>
    </font>
    <font>
      <sz val="10"/>
      <name val="Arial"/>
    </font>
  </fonts>
  <fills count="4">
    <fill>
      <patternFill patternType="none"/>
    </fill>
    <fill>
      <patternFill patternType="gray125"/>
    </fill>
    <fill>
      <patternFill patternType="solid">
        <fgColor theme="5" tint="0.59999389629810485"/>
        <bgColor indexed="64"/>
      </patternFill>
    </fill>
    <fill>
      <patternFill patternType="solid">
        <fgColor theme="7" tint="0.79998168889431442"/>
        <bgColor indexed="64"/>
      </patternFill>
    </fill>
  </fills>
  <borders count="2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/>
      <right/>
      <top style="thin">
        <color auto="1"/>
      </top>
      <bottom style="double">
        <color auto="1"/>
      </bottom>
      <diagonal/>
    </border>
    <border>
      <left/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</borders>
  <cellStyleXfs count="489">
    <xf numFmtId="0" fontId="0" fillId="0" borderId="0"/>
    <xf numFmtId="0" fontId="3" fillId="0" borderId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9" fontId="12" fillId="0" borderId="0" applyFon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</cellStyleXfs>
  <cellXfs count="187">
    <xf numFmtId="0" fontId="0" fillId="0" borderId="0" xfId="0"/>
    <xf numFmtId="0" fontId="0" fillId="0" borderId="0" xfId="0" applyAlignment="1">
      <alignment wrapText="1"/>
    </xf>
    <xf numFmtId="1" fontId="0" fillId="0" borderId="0" xfId="0" applyNumberFormat="1"/>
    <xf numFmtId="0" fontId="0" fillId="0" borderId="0" xfId="0" applyAlignment="1">
      <alignment horizontal="center"/>
    </xf>
    <xf numFmtId="0" fontId="0" fillId="0" borderId="0" xfId="0" applyFill="1"/>
    <xf numFmtId="0" fontId="0" fillId="0" borderId="7" xfId="0" applyBorder="1" applyAlignment="1">
      <alignment horizontal="center" wrapText="1"/>
    </xf>
    <xf numFmtId="0" fontId="0" fillId="0" borderId="8" xfId="0" applyBorder="1" applyAlignment="1">
      <alignment wrapText="1"/>
    </xf>
    <xf numFmtId="0" fontId="0" fillId="0" borderId="5" xfId="0" applyBorder="1"/>
    <xf numFmtId="0" fontId="0" fillId="0" borderId="0" xfId="0" applyBorder="1"/>
    <xf numFmtId="0" fontId="0" fillId="0" borderId="6" xfId="0" applyBorder="1"/>
    <xf numFmtId="0" fontId="0" fillId="0" borderId="6" xfId="0" applyBorder="1" applyAlignment="1">
      <alignment horizontal="right"/>
    </xf>
    <xf numFmtId="0" fontId="0" fillId="0" borderId="0" xfId="0" applyBorder="1" applyAlignment="1">
      <alignment horizontal="right"/>
    </xf>
    <xf numFmtId="0" fontId="2" fillId="0" borderId="5" xfId="0" applyFont="1" applyBorder="1"/>
    <xf numFmtId="0" fontId="0" fillId="0" borderId="11" xfId="0" applyBorder="1"/>
    <xf numFmtId="0" fontId="0" fillId="0" borderId="12" xfId="0" applyBorder="1"/>
    <xf numFmtId="0" fontId="0" fillId="0" borderId="8" xfId="0" applyBorder="1" applyAlignment="1">
      <alignment horizontal="center" wrapText="1"/>
    </xf>
    <xf numFmtId="0" fontId="0" fillId="0" borderId="8" xfId="0" applyBorder="1" applyAlignment="1">
      <alignment horizontal="center" vertical="center" wrapText="1"/>
    </xf>
    <xf numFmtId="0" fontId="0" fillId="0" borderId="9" xfId="0" applyBorder="1" applyAlignment="1">
      <alignment horizontal="center" wrapText="1"/>
    </xf>
    <xf numFmtId="2" fontId="0" fillId="0" borderId="6" xfId="0" applyNumberFormat="1" applyBorder="1"/>
    <xf numFmtId="2" fontId="0" fillId="0" borderId="0" xfId="0" applyNumberFormat="1" applyBorder="1"/>
    <xf numFmtId="0" fontId="0" fillId="0" borderId="10" xfId="0" applyBorder="1"/>
    <xf numFmtId="1" fontId="0" fillId="0" borderId="5" xfId="0" applyNumberFormat="1" applyBorder="1" applyAlignment="1">
      <alignment horizontal="right"/>
    </xf>
    <xf numFmtId="1" fontId="0" fillId="0" borderId="0" xfId="0" applyNumberFormat="1" applyBorder="1" applyAlignment="1">
      <alignment horizontal="right"/>
    </xf>
    <xf numFmtId="1" fontId="0" fillId="0" borderId="0" xfId="0" applyNumberFormat="1" applyFont="1" applyBorder="1" applyAlignment="1">
      <alignment horizontal="center"/>
    </xf>
    <xf numFmtId="1" fontId="1" fillId="0" borderId="0" xfId="0" applyNumberFormat="1" applyFont="1" applyBorder="1" applyAlignment="1">
      <alignment horizontal="center"/>
    </xf>
    <xf numFmtId="1" fontId="0" fillId="0" borderId="11" xfId="0" applyNumberFormat="1" applyBorder="1"/>
    <xf numFmtId="0" fontId="0" fillId="0" borderId="0" xfId="0" applyFill="1" applyBorder="1"/>
    <xf numFmtId="0" fontId="0" fillId="0" borderId="0" xfId="0" applyFill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5" xfId="0" applyFill="1" applyBorder="1"/>
    <xf numFmtId="0" fontId="0" fillId="0" borderId="6" xfId="0" applyFill="1" applyBorder="1"/>
    <xf numFmtId="0" fontId="7" fillId="0" borderId="11" xfId="0" applyFont="1" applyBorder="1"/>
    <xf numFmtId="1" fontId="0" fillId="0" borderId="0" xfId="0" applyNumberFormat="1" applyAlignment="1">
      <alignment wrapText="1"/>
    </xf>
    <xf numFmtId="0" fontId="7" fillId="0" borderId="11" xfId="0" applyFont="1" applyBorder="1" applyAlignment="1">
      <alignment horizontal="right"/>
    </xf>
    <xf numFmtId="0" fontId="0" fillId="0" borderId="18" xfId="0" applyBorder="1" applyAlignment="1">
      <alignment horizontal="right"/>
    </xf>
    <xf numFmtId="0" fontId="0" fillId="0" borderId="19" xfId="0" applyBorder="1" applyAlignment="1">
      <alignment horizontal="right"/>
    </xf>
    <xf numFmtId="0" fontId="0" fillId="0" borderId="18" xfId="0" applyBorder="1"/>
    <xf numFmtId="0" fontId="0" fillId="0" borderId="19" xfId="0" applyBorder="1"/>
    <xf numFmtId="0" fontId="0" fillId="0" borderId="20" xfId="0" applyBorder="1" applyAlignment="1">
      <alignment wrapText="1"/>
    </xf>
    <xf numFmtId="0" fontId="0" fillId="0" borderId="21" xfId="0" applyBorder="1" applyAlignment="1">
      <alignment wrapText="1"/>
    </xf>
    <xf numFmtId="165" fontId="0" fillId="0" borderId="0" xfId="0" applyNumberFormat="1"/>
    <xf numFmtId="1" fontId="0" fillId="0" borderId="0" xfId="0" applyNumberFormat="1" applyFill="1" applyBorder="1" applyAlignment="1">
      <alignment horizontal="right"/>
    </xf>
    <xf numFmtId="0" fontId="9" fillId="0" borderId="1" xfId="0" applyFont="1" applyBorder="1" applyAlignment="1">
      <alignment horizontal="center"/>
    </xf>
    <xf numFmtId="49" fontId="9" fillId="0" borderId="1" xfId="0" applyNumberFormat="1" applyFont="1" applyBorder="1" applyAlignment="1"/>
    <xf numFmtId="0" fontId="9" fillId="0" borderId="1" xfId="0" applyFont="1" applyBorder="1" applyAlignment="1"/>
    <xf numFmtId="0" fontId="9" fillId="0" borderId="1" xfId="0" applyFont="1" applyFill="1" applyBorder="1" applyAlignment="1">
      <alignment horizontal="center"/>
    </xf>
    <xf numFmtId="0" fontId="9" fillId="0" borderId="7" xfId="0" applyFont="1" applyBorder="1" applyAlignment="1">
      <alignment horizontal="center"/>
    </xf>
    <xf numFmtId="0" fontId="9" fillId="0" borderId="19" xfId="0" applyFont="1" applyBorder="1" applyAlignment="1">
      <alignment horizontal="center"/>
    </xf>
    <xf numFmtId="49" fontId="9" fillId="0" borderId="19" xfId="0" applyNumberFormat="1" applyFont="1" applyBorder="1" applyAlignment="1"/>
    <xf numFmtId="0" fontId="0" fillId="0" borderId="0" xfId="0" applyFill="1" applyBorder="1" applyAlignment="1">
      <alignment horizontal="right"/>
    </xf>
    <xf numFmtId="2" fontId="0" fillId="0" borderId="0" xfId="0" applyNumberFormat="1"/>
    <xf numFmtId="166" fontId="0" fillId="0" borderId="0" xfId="0" applyNumberFormat="1" applyBorder="1"/>
    <xf numFmtId="166" fontId="0" fillId="0" borderId="0" xfId="0" applyNumberFormat="1" applyFill="1" applyBorder="1"/>
    <xf numFmtId="0" fontId="2" fillId="0" borderId="0" xfId="0" applyFont="1"/>
    <xf numFmtId="0" fontId="0" fillId="2" borderId="0" xfId="0" applyFill="1" applyBorder="1" applyAlignment="1">
      <alignment horizontal="center"/>
    </xf>
    <xf numFmtId="2" fontId="0" fillId="0" borderId="0" xfId="0" applyNumberFormat="1" applyFill="1" applyBorder="1"/>
    <xf numFmtId="1" fontId="0" fillId="0" borderId="5" xfId="0" applyNumberFormat="1" applyFill="1" applyBorder="1" applyAlignment="1">
      <alignment horizontal="right"/>
    </xf>
    <xf numFmtId="1" fontId="1" fillId="0" borderId="0" xfId="0" applyNumberFormat="1" applyFont="1" applyFill="1" applyBorder="1" applyAlignment="1">
      <alignment horizontal="center"/>
    </xf>
    <xf numFmtId="0" fontId="2" fillId="0" borderId="0" xfId="0" applyFont="1" applyFill="1"/>
    <xf numFmtId="0" fontId="2" fillId="0" borderId="5" xfId="0" applyFont="1" applyFill="1" applyBorder="1"/>
    <xf numFmtId="0" fontId="9" fillId="0" borderId="2" xfId="0" applyFont="1" applyBorder="1" applyAlignment="1">
      <alignment horizontal="center"/>
    </xf>
    <xf numFmtId="0" fontId="9" fillId="0" borderId="4" xfId="0" applyFont="1" applyBorder="1" applyAlignment="1">
      <alignment horizontal="center"/>
    </xf>
    <xf numFmtId="49" fontId="9" fillId="0" borderId="1" xfId="0" applyNumberFormat="1" applyFont="1" applyFill="1" applyBorder="1" applyAlignment="1"/>
    <xf numFmtId="0" fontId="11" fillId="2" borderId="0" xfId="0" applyFont="1" applyFill="1" applyBorder="1" applyAlignment="1">
      <alignment horizontal="center"/>
    </xf>
    <xf numFmtId="0" fontId="0" fillId="2" borderId="11" xfId="0" applyFill="1" applyBorder="1" applyAlignment="1">
      <alignment horizontal="center"/>
    </xf>
    <xf numFmtId="0" fontId="1" fillId="0" borderId="7" xfId="0" applyFont="1" applyBorder="1" applyAlignment="1">
      <alignment horizontal="center"/>
    </xf>
    <xf numFmtId="0" fontId="1" fillId="0" borderId="5" xfId="0" applyFont="1" applyBorder="1"/>
    <xf numFmtId="0" fontId="1" fillId="0" borderId="5" xfId="0" applyFont="1" applyFill="1" applyBorder="1"/>
    <xf numFmtId="0" fontId="8" fillId="0" borderId="10" xfId="0" applyFont="1" applyBorder="1" applyAlignment="1">
      <alignment horizontal="right"/>
    </xf>
    <xf numFmtId="165" fontId="0" fillId="0" borderId="6" xfId="0" applyNumberFormat="1" applyBorder="1"/>
    <xf numFmtId="165" fontId="0" fillId="0" borderId="6" xfId="0" applyNumberFormat="1" applyFill="1" applyBorder="1"/>
    <xf numFmtId="0" fontId="1" fillId="0" borderId="0" xfId="0" applyFont="1" applyBorder="1" applyAlignment="1"/>
    <xf numFmtId="0" fontId="1" fillId="0" borderId="0" xfId="0" applyFont="1" applyBorder="1" applyAlignment="1">
      <alignment wrapText="1"/>
    </xf>
    <xf numFmtId="0" fontId="1" fillId="0" borderId="0" xfId="0" applyFont="1" applyBorder="1" applyAlignment="1">
      <alignment horizontal="left"/>
    </xf>
    <xf numFmtId="0" fontId="0" fillId="3" borderId="5" xfId="0" applyFill="1" applyBorder="1"/>
    <xf numFmtId="0" fontId="0" fillId="3" borderId="0" xfId="0" applyFill="1" applyBorder="1"/>
    <xf numFmtId="0" fontId="0" fillId="3" borderId="6" xfId="0" applyFill="1" applyBorder="1"/>
    <xf numFmtId="0" fontId="1" fillId="3" borderId="5" xfId="0" applyFont="1" applyFill="1" applyBorder="1"/>
    <xf numFmtId="0" fontId="2" fillId="3" borderId="0" xfId="0" applyFont="1" applyFill="1"/>
    <xf numFmtId="166" fontId="0" fillId="3" borderId="0" xfId="0" applyNumberFormat="1" applyFill="1" applyBorder="1"/>
    <xf numFmtId="2" fontId="0" fillId="3" borderId="0" xfId="0" applyNumberFormat="1" applyFill="1" applyBorder="1"/>
    <xf numFmtId="165" fontId="0" fillId="3" borderId="6" xfId="0" applyNumberFormat="1" applyFill="1" applyBorder="1"/>
    <xf numFmtId="1" fontId="0" fillId="3" borderId="5" xfId="0" applyNumberFormat="1" applyFill="1" applyBorder="1" applyAlignment="1">
      <alignment horizontal="right"/>
    </xf>
    <xf numFmtId="1" fontId="0" fillId="3" borderId="0" xfId="0" applyNumberFormat="1" applyFill="1" applyBorder="1" applyAlignment="1">
      <alignment horizontal="right"/>
    </xf>
    <xf numFmtId="1" fontId="1" fillId="3" borderId="0" xfId="0" applyNumberFormat="1" applyFont="1" applyFill="1" applyBorder="1" applyAlignment="1">
      <alignment horizontal="center"/>
    </xf>
    <xf numFmtId="0" fontId="0" fillId="3" borderId="0" xfId="0" applyFill="1"/>
    <xf numFmtId="0" fontId="0" fillId="3" borderId="0" xfId="0" applyFill="1" applyBorder="1" applyAlignment="1">
      <alignment horizontal="right"/>
    </xf>
    <xf numFmtId="0" fontId="0" fillId="0" borderId="5" xfId="0" applyBorder="1" applyAlignment="1">
      <alignment horizontal="left"/>
    </xf>
    <xf numFmtId="0" fontId="0" fillId="0" borderId="0" xfId="0" applyBorder="1" applyAlignment="1">
      <alignment horizontal="left"/>
    </xf>
    <xf numFmtId="0" fontId="0" fillId="0" borderId="6" xfId="0" applyBorder="1" applyAlignment="1">
      <alignment horizontal="left"/>
    </xf>
    <xf numFmtId="0" fontId="0" fillId="0" borderId="10" xfId="0" applyBorder="1" applyAlignment="1">
      <alignment horizontal="left"/>
    </xf>
    <xf numFmtId="0" fontId="0" fillId="0" borderId="11" xfId="0" applyBorder="1" applyAlignment="1">
      <alignment horizontal="left"/>
    </xf>
    <xf numFmtId="0" fontId="0" fillId="0" borderId="12" xfId="0" applyBorder="1" applyAlignment="1">
      <alignment horizontal="left"/>
    </xf>
    <xf numFmtId="0" fontId="1" fillId="0" borderId="2" xfId="0" applyFont="1" applyBorder="1" applyAlignment="1">
      <alignment horizontal="center"/>
    </xf>
    <xf numFmtId="0" fontId="1" fillId="0" borderId="3" xfId="0" applyFont="1" applyBorder="1" applyAlignment="1">
      <alignment horizontal="center"/>
    </xf>
    <xf numFmtId="0" fontId="1" fillId="0" borderId="4" xfId="0" applyFont="1" applyBorder="1" applyAlignment="1">
      <alignment horizontal="center"/>
    </xf>
    <xf numFmtId="0" fontId="0" fillId="0" borderId="21" xfId="0" applyBorder="1" applyAlignment="1">
      <alignment horizontal="left" wrapText="1"/>
    </xf>
    <xf numFmtId="0" fontId="0" fillId="0" borderId="22" xfId="0" applyBorder="1" applyAlignment="1">
      <alignment horizontal="left" wrapText="1"/>
    </xf>
    <xf numFmtId="0" fontId="7" fillId="0" borderId="0" xfId="0" applyFont="1" applyAlignment="1">
      <alignment horizontal="left"/>
    </xf>
    <xf numFmtId="0" fontId="0" fillId="0" borderId="11" xfId="0" applyBorder="1" applyAlignment="1">
      <alignment wrapText="1"/>
    </xf>
    <xf numFmtId="0" fontId="9" fillId="0" borderId="2" xfId="0" applyFont="1" applyBorder="1" applyAlignment="1">
      <alignment horizontal="center" wrapText="1"/>
    </xf>
    <xf numFmtId="0" fontId="9" fillId="0" borderId="4" xfId="0" applyFont="1" applyBorder="1" applyAlignment="1">
      <alignment horizontal="center" wrapText="1"/>
    </xf>
    <xf numFmtId="0" fontId="0" fillId="0" borderId="6" xfId="0" applyBorder="1" applyAlignment="1">
      <alignment wrapText="1"/>
    </xf>
    <xf numFmtId="164" fontId="0" fillId="0" borderId="6" xfId="0" applyNumberFormat="1" applyBorder="1" applyAlignment="1">
      <alignment horizontal="right"/>
    </xf>
    <xf numFmtId="164" fontId="0" fillId="0" borderId="6" xfId="0" applyNumberFormat="1" applyFill="1" applyBorder="1" applyAlignment="1">
      <alignment horizontal="right"/>
    </xf>
    <xf numFmtId="164" fontId="0" fillId="3" borderId="6" xfId="0" applyNumberFormat="1" applyFill="1" applyBorder="1" applyAlignment="1">
      <alignment horizontal="right"/>
    </xf>
    <xf numFmtId="1" fontId="2" fillId="0" borderId="0" xfId="0" applyNumberFormat="1" applyFont="1" applyBorder="1" applyAlignment="1">
      <alignment horizontal="right"/>
    </xf>
    <xf numFmtId="1" fontId="8" fillId="0" borderId="11" xfId="0" applyNumberFormat="1" applyFont="1" applyBorder="1"/>
    <xf numFmtId="0" fontId="8" fillId="0" borderId="12" xfId="0" applyFont="1" applyBorder="1"/>
    <xf numFmtId="0" fontId="1" fillId="0" borderId="2" xfId="0" applyFont="1" applyBorder="1" applyAlignment="1"/>
    <xf numFmtId="0" fontId="1" fillId="0" borderId="3" xfId="0" applyFont="1" applyBorder="1" applyAlignment="1"/>
    <xf numFmtId="0" fontId="1" fillId="0" borderId="4" xfId="0" applyFont="1" applyBorder="1" applyAlignment="1"/>
    <xf numFmtId="0" fontId="2" fillId="0" borderId="0" xfId="0" applyFont="1" applyBorder="1" applyAlignment="1">
      <alignment horizontal="right"/>
    </xf>
    <xf numFmtId="0" fontId="1" fillId="0" borderId="2" xfId="0" applyFont="1" applyBorder="1" applyAlignment="1">
      <alignment horizontal="center" wrapText="1"/>
    </xf>
    <xf numFmtId="0" fontId="1" fillId="0" borderId="4" xfId="0" applyFont="1" applyBorder="1" applyAlignment="1">
      <alignment horizontal="center" wrapText="1"/>
    </xf>
    <xf numFmtId="0" fontId="0" fillId="0" borderId="8" xfId="0" applyBorder="1" applyAlignment="1">
      <alignment horizontal="center"/>
    </xf>
    <xf numFmtId="0" fontId="1" fillId="0" borderId="8" xfId="0" applyFont="1" applyBorder="1" applyAlignment="1"/>
    <xf numFmtId="0" fontId="2" fillId="0" borderId="10" xfId="0" applyFont="1" applyBorder="1"/>
    <xf numFmtId="0" fontId="0" fillId="0" borderId="11" xfId="0" applyFill="1" applyBorder="1"/>
    <xf numFmtId="0" fontId="0" fillId="0" borderId="11" xfId="0" applyBorder="1" applyAlignment="1">
      <alignment horizontal="right"/>
    </xf>
    <xf numFmtId="0" fontId="0" fillId="0" borderId="12" xfId="0" applyBorder="1" applyAlignment="1">
      <alignment horizontal="right"/>
    </xf>
    <xf numFmtId="0" fontId="0" fillId="0" borderId="11" xfId="0" applyFill="1" applyBorder="1" applyAlignment="1">
      <alignment horizontal="center"/>
    </xf>
    <xf numFmtId="0" fontId="1" fillId="0" borderId="10" xfId="0" applyFont="1" applyBorder="1"/>
    <xf numFmtId="166" fontId="0" fillId="0" borderId="11" xfId="0" applyNumberFormat="1" applyFill="1" applyBorder="1"/>
    <xf numFmtId="2" fontId="0" fillId="0" borderId="11" xfId="0" applyNumberFormat="1" applyBorder="1"/>
    <xf numFmtId="165" fontId="0" fillId="0" borderId="12" xfId="0" applyNumberFormat="1" applyBorder="1"/>
    <xf numFmtId="1" fontId="0" fillId="0" borderId="10" xfId="0" applyNumberFormat="1" applyBorder="1" applyAlignment="1">
      <alignment horizontal="right"/>
    </xf>
    <xf numFmtId="1" fontId="0" fillId="0" borderId="11" xfId="0" applyNumberFormat="1" applyBorder="1" applyAlignment="1">
      <alignment horizontal="right"/>
    </xf>
    <xf numFmtId="1" fontId="0" fillId="0" borderId="11" xfId="0" applyNumberFormat="1" applyFont="1" applyBorder="1" applyAlignment="1">
      <alignment horizontal="center"/>
    </xf>
    <xf numFmtId="1" fontId="1" fillId="0" borderId="11" xfId="0" applyNumberFormat="1" applyFont="1" applyBorder="1" applyAlignment="1">
      <alignment horizontal="center"/>
    </xf>
    <xf numFmtId="164" fontId="0" fillId="0" borderId="12" xfId="0" applyNumberFormat="1" applyBorder="1" applyAlignment="1">
      <alignment horizontal="right"/>
    </xf>
    <xf numFmtId="0" fontId="6" fillId="0" borderId="10" xfId="0" applyFont="1" applyBorder="1" applyAlignment="1">
      <alignment horizontal="right"/>
    </xf>
    <xf numFmtId="1" fontId="7" fillId="0" borderId="11" xfId="0" applyNumberFormat="1" applyFont="1" applyBorder="1"/>
    <xf numFmtId="0" fontId="1" fillId="0" borderId="0" xfId="0" applyFont="1"/>
    <xf numFmtId="0" fontId="0" fillId="0" borderId="23" xfId="0" applyBorder="1"/>
    <xf numFmtId="0" fontId="0" fillId="0" borderId="9" xfId="0" applyBorder="1"/>
    <xf numFmtId="165" fontId="0" fillId="0" borderId="5" xfId="0" applyNumberFormat="1" applyBorder="1"/>
    <xf numFmtId="165" fontId="0" fillId="0" borderId="10" xfId="0" applyNumberFormat="1" applyBorder="1"/>
    <xf numFmtId="2" fontId="0" fillId="0" borderId="5" xfId="0" applyNumberFormat="1" applyBorder="1"/>
    <xf numFmtId="2" fontId="0" fillId="0" borderId="10" xfId="0" applyNumberFormat="1" applyBorder="1"/>
    <xf numFmtId="0" fontId="0" fillId="0" borderId="8" xfId="0" applyBorder="1"/>
    <xf numFmtId="165" fontId="0" fillId="0" borderId="0" xfId="0" applyNumberFormat="1" applyBorder="1"/>
    <xf numFmtId="165" fontId="0" fillId="0" borderId="13" xfId="0" applyNumberFormat="1" applyBorder="1"/>
    <xf numFmtId="0" fontId="0" fillId="0" borderId="14" xfId="0" applyBorder="1"/>
    <xf numFmtId="165" fontId="0" fillId="0" borderId="15" xfId="0" applyNumberFormat="1" applyBorder="1"/>
    <xf numFmtId="0" fontId="0" fillId="0" borderId="17" xfId="0" applyBorder="1"/>
    <xf numFmtId="0" fontId="1" fillId="0" borderId="7" xfId="0" applyFont="1" applyBorder="1"/>
    <xf numFmtId="0" fontId="0" fillId="0" borderId="24" xfId="0" applyBorder="1" applyAlignment="1">
      <alignment horizontal="right"/>
    </xf>
    <xf numFmtId="166" fontId="0" fillId="0" borderId="26" xfId="0" applyNumberFormat="1" applyBorder="1"/>
    <xf numFmtId="166" fontId="0" fillId="0" borderId="25" xfId="0" applyNumberFormat="1" applyBorder="1"/>
    <xf numFmtId="0" fontId="0" fillId="0" borderId="15" xfId="0" applyBorder="1" applyAlignment="1">
      <alignment horizontal="right"/>
    </xf>
    <xf numFmtId="166" fontId="0" fillId="0" borderId="16" xfId="0" applyNumberFormat="1" applyBorder="1"/>
    <xf numFmtId="166" fontId="0" fillId="0" borderId="17" xfId="0" applyNumberFormat="1" applyBorder="1"/>
    <xf numFmtId="0" fontId="0" fillId="0" borderId="8" xfId="0" applyFont="1" applyBorder="1" applyAlignment="1">
      <alignment horizontal="center" wrapText="1"/>
    </xf>
    <xf numFmtId="0" fontId="0" fillId="0" borderId="0" xfId="0" applyFont="1" applyBorder="1"/>
    <xf numFmtId="0" fontId="0" fillId="0" borderId="0" xfId="0" applyFont="1" applyFill="1" applyBorder="1"/>
    <xf numFmtId="0" fontId="0" fillId="3" borderId="0" xfId="0" applyFont="1" applyFill="1" applyBorder="1"/>
    <xf numFmtId="0" fontId="0" fillId="0" borderId="0" xfId="0" applyFont="1" applyFill="1" applyBorder="1" applyAlignment="1">
      <alignment horizontal="right"/>
    </xf>
    <xf numFmtId="0" fontId="0" fillId="0" borderId="0" xfId="0" applyFont="1" applyBorder="1" applyAlignment="1">
      <alignment horizontal="right"/>
    </xf>
    <xf numFmtId="0" fontId="0" fillId="0" borderId="11" xfId="0" applyFont="1" applyBorder="1"/>
    <xf numFmtId="0" fontId="1" fillId="0" borderId="9" xfId="0" applyFont="1" applyBorder="1" applyAlignment="1">
      <alignment horizontal="center" wrapText="1"/>
    </xf>
    <xf numFmtId="2" fontId="1" fillId="0" borderId="6" xfId="0" applyNumberFormat="1" applyFont="1" applyBorder="1"/>
    <xf numFmtId="2" fontId="1" fillId="0" borderId="6" xfId="0" applyNumberFormat="1" applyFont="1" applyFill="1" applyBorder="1"/>
    <xf numFmtId="2" fontId="1" fillId="3" borderId="6" xfId="0" applyNumberFormat="1" applyFont="1" applyFill="1" applyBorder="1"/>
    <xf numFmtId="165" fontId="1" fillId="0" borderId="6" xfId="0" applyNumberFormat="1" applyFont="1" applyFill="1" applyBorder="1"/>
    <xf numFmtId="2" fontId="1" fillId="0" borderId="12" xfId="0" applyNumberFormat="1" applyFont="1" applyBorder="1"/>
    <xf numFmtId="165" fontId="0" fillId="0" borderId="24" xfId="0" applyNumberFormat="1" applyBorder="1" applyAlignment="1">
      <alignment horizontal="center" wrapText="1"/>
    </xf>
    <xf numFmtId="165" fontId="0" fillId="0" borderId="25" xfId="0" applyNumberFormat="1" applyBorder="1" applyAlignment="1">
      <alignment horizontal="center" wrapText="1"/>
    </xf>
    <xf numFmtId="0" fontId="0" fillId="0" borderId="4" xfId="0" applyBorder="1"/>
    <xf numFmtId="165" fontId="0" fillId="0" borderId="27" xfId="0" applyNumberFormat="1" applyFill="1" applyBorder="1" applyAlignment="1">
      <alignment wrapText="1"/>
    </xf>
    <xf numFmtId="0" fontId="0" fillId="0" borderId="28" xfId="0" applyBorder="1"/>
    <xf numFmtId="0" fontId="0" fillId="0" borderId="2" xfId="0" applyBorder="1"/>
    <xf numFmtId="0" fontId="0" fillId="0" borderId="3" xfId="0" applyBorder="1"/>
    <xf numFmtId="1" fontId="0" fillId="0" borderId="5" xfId="372" applyNumberFormat="1" applyFont="1" applyBorder="1"/>
    <xf numFmtId="1" fontId="0" fillId="0" borderId="0" xfId="372" applyNumberFormat="1" applyFont="1" applyBorder="1"/>
    <xf numFmtId="1" fontId="0" fillId="0" borderId="6" xfId="372" applyNumberFormat="1" applyFont="1" applyBorder="1"/>
    <xf numFmtId="1" fontId="0" fillId="0" borderId="10" xfId="372" applyNumberFormat="1" applyFont="1" applyBorder="1"/>
    <xf numFmtId="1" fontId="0" fillId="0" borderId="11" xfId="372" applyNumberFormat="1" applyFont="1" applyBorder="1"/>
    <xf numFmtId="1" fontId="0" fillId="0" borderId="12" xfId="372" applyNumberFormat="1" applyFont="1" applyBorder="1"/>
    <xf numFmtId="3" fontId="15" fillId="0" borderId="0" xfId="0" applyNumberFormat="1" applyFont="1"/>
    <xf numFmtId="3" fontId="0" fillId="0" borderId="0" xfId="0" applyNumberFormat="1" applyBorder="1" applyAlignment="1">
      <alignment horizontal="center"/>
    </xf>
    <xf numFmtId="3" fontId="0" fillId="0" borderId="0" xfId="0" applyNumberFormat="1" applyFill="1" applyBorder="1" applyAlignment="1">
      <alignment horizontal="center"/>
    </xf>
    <xf numFmtId="0" fontId="16" fillId="0" borderId="0" xfId="0" applyFont="1" applyAlignment="1">
      <alignment horizontal="right"/>
    </xf>
    <xf numFmtId="3" fontId="16" fillId="0" borderId="0" xfId="0" applyNumberFormat="1" applyFont="1"/>
    <xf numFmtId="0" fontId="1" fillId="0" borderId="3" xfId="0" applyFont="1" applyBorder="1" applyAlignment="1">
      <alignment horizontal="center" wrapText="1"/>
    </xf>
    <xf numFmtId="0" fontId="0" fillId="0" borderId="11" xfId="0" applyFill="1" applyBorder="1" applyAlignment="1"/>
    <xf numFmtId="0" fontId="0" fillId="2" borderId="11" xfId="0" applyFill="1" applyBorder="1" applyAlignment="1">
      <alignment horizontal="left" wrapText="1"/>
    </xf>
  </cellXfs>
  <cellStyles count="489">
    <cellStyle name="Followed Hyperlink" xfId="3" builtinId="9" hidden="1"/>
    <cellStyle name="Followed Hyperlink" xfId="5" builtinId="9" hidden="1"/>
    <cellStyle name="Followed Hyperlink" xfId="7" builtinId="9" hidden="1"/>
    <cellStyle name="Followed Hyperlink" xfId="9" builtinId="9" hidden="1"/>
    <cellStyle name="Followed Hyperlink" xfId="11" builtinId="9" hidden="1"/>
    <cellStyle name="Followed Hyperlink" xfId="13" builtinId="9" hidden="1"/>
    <cellStyle name="Followed Hyperlink" xfId="15" builtinId="9" hidden="1"/>
    <cellStyle name="Followed Hyperlink" xfId="17" builtinId="9" hidden="1"/>
    <cellStyle name="Followed Hyperlink" xfId="19" builtinId="9" hidden="1"/>
    <cellStyle name="Followed Hyperlink" xfId="21" builtinId="9" hidden="1"/>
    <cellStyle name="Followed Hyperlink" xfId="23" builtinId="9" hidden="1"/>
    <cellStyle name="Followed Hyperlink" xfId="25" builtinId="9" hidden="1"/>
    <cellStyle name="Followed Hyperlink" xfId="27" builtinId="9" hidden="1"/>
    <cellStyle name="Followed Hyperlink" xfId="29" builtinId="9" hidden="1"/>
    <cellStyle name="Followed Hyperlink" xfId="31" builtinId="9" hidden="1"/>
    <cellStyle name="Followed Hyperlink" xfId="33" builtinId="9" hidden="1"/>
    <cellStyle name="Followed Hyperlink" xfId="35" builtinId="9" hidden="1"/>
    <cellStyle name="Followed Hyperlink" xfId="37" builtinId="9" hidden="1"/>
    <cellStyle name="Followed Hyperlink" xfId="39" builtinId="9" hidden="1"/>
    <cellStyle name="Followed Hyperlink" xfId="41" builtinId="9" hidden="1"/>
    <cellStyle name="Followed Hyperlink" xfId="43" builtinId="9" hidden="1"/>
    <cellStyle name="Followed Hyperlink" xfId="45" builtinId="9" hidden="1"/>
    <cellStyle name="Followed Hyperlink" xfId="47" builtinId="9" hidden="1"/>
    <cellStyle name="Followed Hyperlink" xfId="49" builtinId="9" hidden="1"/>
    <cellStyle name="Followed Hyperlink" xfId="51" builtinId="9" hidden="1"/>
    <cellStyle name="Followed Hyperlink" xfId="53" builtinId="9" hidden="1"/>
    <cellStyle name="Followed Hyperlink" xfId="55" builtinId="9" hidden="1"/>
    <cellStyle name="Followed Hyperlink" xfId="57" builtinId="9" hidden="1"/>
    <cellStyle name="Followed Hyperlink" xfId="59" builtinId="9" hidden="1"/>
    <cellStyle name="Followed Hyperlink" xfId="61" builtinId="9" hidden="1"/>
    <cellStyle name="Followed Hyperlink" xfId="63" builtinId="9" hidden="1"/>
    <cellStyle name="Followed Hyperlink" xfId="65" builtinId="9" hidden="1"/>
    <cellStyle name="Followed Hyperlink" xfId="67" builtinId="9" hidden="1"/>
    <cellStyle name="Followed Hyperlink" xfId="69" builtinId="9" hidden="1"/>
    <cellStyle name="Followed Hyperlink" xfId="71" builtinId="9" hidden="1"/>
    <cellStyle name="Followed Hyperlink" xfId="73" builtinId="9" hidden="1"/>
    <cellStyle name="Followed Hyperlink" xfId="75" builtinId="9" hidden="1"/>
    <cellStyle name="Followed Hyperlink" xfId="77" builtinId="9" hidden="1"/>
    <cellStyle name="Followed Hyperlink" xfId="79" builtinId="9" hidden="1"/>
    <cellStyle name="Followed Hyperlink" xfId="81" builtinId="9" hidden="1"/>
    <cellStyle name="Followed Hyperlink" xfId="83" builtinId="9" hidden="1"/>
    <cellStyle name="Followed Hyperlink" xfId="85" builtinId="9" hidden="1"/>
    <cellStyle name="Followed Hyperlink" xfId="87" builtinId="9" hidden="1"/>
    <cellStyle name="Followed Hyperlink" xfId="89" builtinId="9" hidden="1"/>
    <cellStyle name="Followed Hyperlink" xfId="91" builtinId="9" hidden="1"/>
    <cellStyle name="Followed Hyperlink" xfId="93" builtinId="9" hidden="1"/>
    <cellStyle name="Followed Hyperlink" xfId="95" builtinId="9" hidden="1"/>
    <cellStyle name="Followed Hyperlink" xfId="97" builtinId="9" hidden="1"/>
    <cellStyle name="Followed Hyperlink" xfId="99" builtinId="9" hidden="1"/>
    <cellStyle name="Followed Hyperlink" xfId="101" builtinId="9" hidden="1"/>
    <cellStyle name="Followed Hyperlink" xfId="103" builtinId="9" hidden="1"/>
    <cellStyle name="Followed Hyperlink" xfId="105" builtinId="9" hidden="1"/>
    <cellStyle name="Followed Hyperlink" xfId="107" builtinId="9" hidden="1"/>
    <cellStyle name="Followed Hyperlink" xfId="109" builtinId="9" hidden="1"/>
    <cellStyle name="Followed Hyperlink" xfId="111" builtinId="9" hidden="1"/>
    <cellStyle name="Followed Hyperlink" xfId="113" builtinId="9" hidden="1"/>
    <cellStyle name="Followed Hyperlink" xfId="115" builtinId="9" hidden="1"/>
    <cellStyle name="Followed Hyperlink" xfId="117" builtinId="9" hidden="1"/>
    <cellStyle name="Followed Hyperlink" xfId="119" builtinId="9" hidden="1"/>
    <cellStyle name="Followed Hyperlink" xfId="121" builtinId="9" hidden="1"/>
    <cellStyle name="Followed Hyperlink" xfId="123" builtinId="9" hidden="1"/>
    <cellStyle name="Followed Hyperlink" xfId="125" builtinId="9" hidden="1"/>
    <cellStyle name="Followed Hyperlink" xfId="127" builtinId="9" hidden="1"/>
    <cellStyle name="Followed Hyperlink" xfId="129" builtinId="9" hidden="1"/>
    <cellStyle name="Followed Hyperlink" xfId="131" builtinId="9" hidden="1"/>
    <cellStyle name="Followed Hyperlink" xfId="133" builtinId="9" hidden="1"/>
    <cellStyle name="Followed Hyperlink" xfId="135" builtinId="9" hidden="1"/>
    <cellStyle name="Followed Hyperlink" xfId="137" builtinId="9" hidden="1"/>
    <cellStyle name="Followed Hyperlink" xfId="139" builtinId="9" hidden="1"/>
    <cellStyle name="Followed Hyperlink" xfId="141" builtinId="9" hidden="1"/>
    <cellStyle name="Followed Hyperlink" xfId="143" builtinId="9" hidden="1"/>
    <cellStyle name="Followed Hyperlink" xfId="145" builtinId="9" hidden="1"/>
    <cellStyle name="Followed Hyperlink" xfId="147" builtinId="9" hidden="1"/>
    <cellStyle name="Followed Hyperlink" xfId="149" builtinId="9" hidden="1"/>
    <cellStyle name="Followed Hyperlink" xfId="151" builtinId="9" hidden="1"/>
    <cellStyle name="Followed Hyperlink" xfId="153" builtinId="9" hidden="1"/>
    <cellStyle name="Followed Hyperlink" xfId="155" builtinId="9" hidden="1"/>
    <cellStyle name="Followed Hyperlink" xfId="157" builtinId="9" hidden="1"/>
    <cellStyle name="Followed Hyperlink" xfId="159" builtinId="9" hidden="1"/>
    <cellStyle name="Followed Hyperlink" xfId="161" builtinId="9" hidden="1"/>
    <cellStyle name="Followed Hyperlink" xfId="163" builtinId="9" hidden="1"/>
    <cellStyle name="Followed Hyperlink" xfId="165" builtinId="9" hidden="1"/>
    <cellStyle name="Followed Hyperlink" xfId="167" builtinId="9" hidden="1"/>
    <cellStyle name="Followed Hyperlink" xfId="169" builtinId="9" hidden="1"/>
    <cellStyle name="Followed Hyperlink" xfId="171" builtinId="9" hidden="1"/>
    <cellStyle name="Followed Hyperlink" xfId="173" builtinId="9" hidden="1"/>
    <cellStyle name="Followed Hyperlink" xfId="175" builtinId="9" hidden="1"/>
    <cellStyle name="Followed Hyperlink" xfId="177" builtinId="9" hidden="1"/>
    <cellStyle name="Followed Hyperlink" xfId="179" builtinId="9" hidden="1"/>
    <cellStyle name="Followed Hyperlink" xfId="181" builtinId="9" hidden="1"/>
    <cellStyle name="Followed Hyperlink" xfId="183" builtinId="9" hidden="1"/>
    <cellStyle name="Followed Hyperlink" xfId="185" builtinId="9" hidden="1"/>
    <cellStyle name="Followed Hyperlink" xfId="187" builtinId="9" hidden="1"/>
    <cellStyle name="Followed Hyperlink" xfId="189" builtinId="9" hidden="1"/>
    <cellStyle name="Followed Hyperlink" xfId="191" builtinId="9" hidden="1"/>
    <cellStyle name="Followed Hyperlink" xfId="193" builtinId="9" hidden="1"/>
    <cellStyle name="Followed Hyperlink" xfId="195" builtinId="9" hidden="1"/>
    <cellStyle name="Followed Hyperlink" xfId="197" builtinId="9" hidden="1"/>
    <cellStyle name="Followed Hyperlink" xfId="199" builtinId="9" hidden="1"/>
    <cellStyle name="Followed Hyperlink" xfId="201" builtinId="9" hidden="1"/>
    <cellStyle name="Followed Hyperlink" xfId="203" builtinId="9" hidden="1"/>
    <cellStyle name="Followed Hyperlink" xfId="205" builtinId="9" hidden="1"/>
    <cellStyle name="Followed Hyperlink" xfId="207" builtinId="9" hidden="1"/>
    <cellStyle name="Followed Hyperlink" xfId="209" builtinId="9" hidden="1"/>
    <cellStyle name="Followed Hyperlink" xfId="211" builtinId="9" hidden="1"/>
    <cellStyle name="Followed Hyperlink" xfId="213" builtinId="9" hidden="1"/>
    <cellStyle name="Followed Hyperlink" xfId="215" builtinId="9" hidden="1"/>
    <cellStyle name="Followed Hyperlink" xfId="217" builtinId="9" hidden="1"/>
    <cellStyle name="Followed Hyperlink" xfId="219" builtinId="9" hidden="1"/>
    <cellStyle name="Followed Hyperlink" xfId="221" builtinId="9" hidden="1"/>
    <cellStyle name="Followed Hyperlink" xfId="223" builtinId="9" hidden="1"/>
    <cellStyle name="Followed Hyperlink" xfId="225" builtinId="9" hidden="1"/>
    <cellStyle name="Followed Hyperlink" xfId="227" builtinId="9" hidden="1"/>
    <cellStyle name="Followed Hyperlink" xfId="229" builtinId="9" hidden="1"/>
    <cellStyle name="Followed Hyperlink" xfId="231" builtinId="9" hidden="1"/>
    <cellStyle name="Followed Hyperlink" xfId="233" builtinId="9" hidden="1"/>
    <cellStyle name="Followed Hyperlink" xfId="235" builtinId="9" hidden="1"/>
    <cellStyle name="Followed Hyperlink" xfId="237" builtinId="9" hidden="1"/>
    <cellStyle name="Followed Hyperlink" xfId="239" builtinId="9" hidden="1"/>
    <cellStyle name="Followed Hyperlink" xfId="241" builtinId="9" hidden="1"/>
    <cellStyle name="Followed Hyperlink" xfId="243" builtinId="9" hidden="1"/>
    <cellStyle name="Followed Hyperlink" xfId="245" builtinId="9" hidden="1"/>
    <cellStyle name="Followed Hyperlink" xfId="247" builtinId="9" hidden="1"/>
    <cellStyle name="Followed Hyperlink" xfId="249" builtinId="9" hidden="1"/>
    <cellStyle name="Followed Hyperlink" xfId="251" builtinId="9" hidden="1"/>
    <cellStyle name="Followed Hyperlink" xfId="253" builtinId="9" hidden="1"/>
    <cellStyle name="Followed Hyperlink" xfId="255" builtinId="9" hidden="1"/>
    <cellStyle name="Followed Hyperlink" xfId="257" builtinId="9" hidden="1"/>
    <cellStyle name="Followed Hyperlink" xfId="259" builtinId="9" hidden="1"/>
    <cellStyle name="Followed Hyperlink" xfId="261" builtinId="9" hidden="1"/>
    <cellStyle name="Followed Hyperlink" xfId="263" builtinId="9" hidden="1"/>
    <cellStyle name="Followed Hyperlink" xfId="265" builtinId="9" hidden="1"/>
    <cellStyle name="Followed Hyperlink" xfId="267" builtinId="9" hidden="1"/>
    <cellStyle name="Followed Hyperlink" xfId="269" builtinId="9" hidden="1"/>
    <cellStyle name="Followed Hyperlink" xfId="271" builtinId="9" hidden="1"/>
    <cellStyle name="Followed Hyperlink" xfId="273" builtinId="9" hidden="1"/>
    <cellStyle name="Followed Hyperlink" xfId="275" builtinId="9" hidden="1"/>
    <cellStyle name="Followed Hyperlink" xfId="277" builtinId="9" hidden="1"/>
    <cellStyle name="Followed Hyperlink" xfId="279" builtinId="9" hidden="1"/>
    <cellStyle name="Followed Hyperlink" xfId="281" builtinId="9" hidden="1"/>
    <cellStyle name="Followed Hyperlink" xfId="283" builtinId="9" hidden="1"/>
    <cellStyle name="Followed Hyperlink" xfId="285" builtinId="9" hidden="1"/>
    <cellStyle name="Followed Hyperlink" xfId="287" builtinId="9" hidden="1"/>
    <cellStyle name="Followed Hyperlink" xfId="289" builtinId="9" hidden="1"/>
    <cellStyle name="Followed Hyperlink" xfId="291" builtinId="9" hidden="1"/>
    <cellStyle name="Followed Hyperlink" xfId="293" builtinId="9" hidden="1"/>
    <cellStyle name="Followed Hyperlink" xfId="295" builtinId="9" hidden="1"/>
    <cellStyle name="Followed Hyperlink" xfId="297" builtinId="9" hidden="1"/>
    <cellStyle name="Followed Hyperlink" xfId="299" builtinId="9" hidden="1"/>
    <cellStyle name="Followed Hyperlink" xfId="301" builtinId="9" hidden="1"/>
    <cellStyle name="Followed Hyperlink" xfId="303" builtinId="9" hidden="1"/>
    <cellStyle name="Followed Hyperlink" xfId="305" builtinId="9" hidden="1"/>
    <cellStyle name="Followed Hyperlink" xfId="307" builtinId="9" hidden="1"/>
    <cellStyle name="Followed Hyperlink" xfId="309" builtinId="9" hidden="1"/>
    <cellStyle name="Followed Hyperlink" xfId="311" builtinId="9" hidden="1"/>
    <cellStyle name="Followed Hyperlink" xfId="313" builtinId="9" hidden="1"/>
    <cellStyle name="Followed Hyperlink" xfId="315" builtinId="9" hidden="1"/>
    <cellStyle name="Followed Hyperlink" xfId="317" builtinId="9" hidden="1"/>
    <cellStyle name="Followed Hyperlink" xfId="319" builtinId="9" hidden="1"/>
    <cellStyle name="Followed Hyperlink" xfId="321" builtinId="9" hidden="1"/>
    <cellStyle name="Followed Hyperlink" xfId="323" builtinId="9" hidden="1"/>
    <cellStyle name="Followed Hyperlink" xfId="325" builtinId="9" hidden="1"/>
    <cellStyle name="Followed Hyperlink" xfId="327" builtinId="9" hidden="1"/>
    <cellStyle name="Followed Hyperlink" xfId="329" builtinId="9" hidden="1"/>
    <cellStyle name="Followed Hyperlink" xfId="331" builtinId="9" hidden="1"/>
    <cellStyle name="Followed Hyperlink" xfId="333" builtinId="9" hidden="1"/>
    <cellStyle name="Followed Hyperlink" xfId="335" builtinId="9" hidden="1"/>
    <cellStyle name="Followed Hyperlink" xfId="337" builtinId="9" hidden="1"/>
    <cellStyle name="Followed Hyperlink" xfId="339" builtinId="9" hidden="1"/>
    <cellStyle name="Followed Hyperlink" xfId="341" builtinId="9" hidden="1"/>
    <cellStyle name="Followed Hyperlink" xfId="343" builtinId="9" hidden="1"/>
    <cellStyle name="Followed Hyperlink" xfId="345" builtinId="9" hidden="1"/>
    <cellStyle name="Followed Hyperlink" xfId="347" builtinId="9" hidden="1"/>
    <cellStyle name="Followed Hyperlink" xfId="349" builtinId="9" hidden="1"/>
    <cellStyle name="Followed Hyperlink" xfId="351" builtinId="9" hidden="1"/>
    <cellStyle name="Followed Hyperlink" xfId="353" builtinId="9" hidden="1"/>
    <cellStyle name="Followed Hyperlink" xfId="355" builtinId="9" hidden="1"/>
    <cellStyle name="Followed Hyperlink" xfId="357" builtinId="9" hidden="1"/>
    <cellStyle name="Followed Hyperlink" xfId="359" builtinId="9" hidden="1"/>
    <cellStyle name="Followed Hyperlink" xfId="361" builtinId="9" hidden="1"/>
    <cellStyle name="Followed Hyperlink" xfId="363" builtinId="9" hidden="1"/>
    <cellStyle name="Followed Hyperlink" xfId="365" builtinId="9" hidden="1"/>
    <cellStyle name="Followed Hyperlink" xfId="367" builtinId="9" hidden="1"/>
    <cellStyle name="Followed Hyperlink" xfId="369" builtinId="9" hidden="1"/>
    <cellStyle name="Followed Hyperlink" xfId="371" builtinId="9" hidden="1"/>
    <cellStyle name="Followed Hyperlink" xfId="374" builtinId="9" hidden="1"/>
    <cellStyle name="Followed Hyperlink" xfId="376" builtinId="9" hidden="1"/>
    <cellStyle name="Followed Hyperlink" xfId="378" builtinId="9" hidden="1"/>
    <cellStyle name="Followed Hyperlink" xfId="380" builtinId="9" hidden="1"/>
    <cellStyle name="Followed Hyperlink" xfId="382" builtinId="9" hidden="1"/>
    <cellStyle name="Followed Hyperlink" xfId="384" builtinId="9" hidden="1"/>
    <cellStyle name="Followed Hyperlink" xfId="386" builtinId="9" hidden="1"/>
    <cellStyle name="Followed Hyperlink" xfId="388" builtinId="9" hidden="1"/>
    <cellStyle name="Followed Hyperlink" xfId="390" builtinId="9" hidden="1"/>
    <cellStyle name="Followed Hyperlink" xfId="392" builtinId="9" hidden="1"/>
    <cellStyle name="Followed Hyperlink" xfId="394" builtinId="9" hidden="1"/>
    <cellStyle name="Followed Hyperlink" xfId="396" builtinId="9" hidden="1"/>
    <cellStyle name="Followed Hyperlink" xfId="398" builtinId="9" hidden="1"/>
    <cellStyle name="Followed Hyperlink" xfId="400" builtinId="9" hidden="1"/>
    <cellStyle name="Followed Hyperlink" xfId="402" builtinId="9" hidden="1"/>
    <cellStyle name="Followed Hyperlink" xfId="404" builtinId="9" hidden="1"/>
    <cellStyle name="Followed Hyperlink" xfId="406" builtinId="9" hidden="1"/>
    <cellStyle name="Followed Hyperlink" xfId="408" builtinId="9" hidden="1"/>
    <cellStyle name="Followed Hyperlink" xfId="410" builtinId="9" hidden="1"/>
    <cellStyle name="Followed Hyperlink" xfId="412" builtinId="9" hidden="1"/>
    <cellStyle name="Followed Hyperlink" xfId="414" builtinId="9" hidden="1"/>
    <cellStyle name="Followed Hyperlink" xfId="416" builtinId="9" hidden="1"/>
    <cellStyle name="Followed Hyperlink" xfId="418" builtinId="9" hidden="1"/>
    <cellStyle name="Followed Hyperlink" xfId="420" builtinId="9" hidden="1"/>
    <cellStyle name="Followed Hyperlink" xfId="422" builtinId="9" hidden="1"/>
    <cellStyle name="Followed Hyperlink" xfId="424" builtinId="9" hidden="1"/>
    <cellStyle name="Followed Hyperlink" xfId="426" builtinId="9" hidden="1"/>
    <cellStyle name="Followed Hyperlink" xfId="428" builtinId="9" hidden="1"/>
    <cellStyle name="Followed Hyperlink" xfId="430" builtinId="9" hidden="1"/>
    <cellStyle name="Followed Hyperlink" xfId="432" builtinId="9" hidden="1"/>
    <cellStyle name="Followed Hyperlink" xfId="434" builtinId="9" hidden="1"/>
    <cellStyle name="Followed Hyperlink" xfId="436" builtinId="9" hidden="1"/>
    <cellStyle name="Followed Hyperlink" xfId="438" builtinId="9" hidden="1"/>
    <cellStyle name="Followed Hyperlink" xfId="440" builtinId="9" hidden="1"/>
    <cellStyle name="Followed Hyperlink" xfId="442" builtinId="9" hidden="1"/>
    <cellStyle name="Followed Hyperlink" xfId="444" builtinId="9" hidden="1"/>
    <cellStyle name="Followed Hyperlink" xfId="446" builtinId="9" hidden="1"/>
    <cellStyle name="Followed Hyperlink" xfId="448" builtinId="9" hidden="1"/>
    <cellStyle name="Followed Hyperlink" xfId="450" builtinId="9" hidden="1"/>
    <cellStyle name="Followed Hyperlink" xfId="452" builtinId="9" hidden="1"/>
    <cellStyle name="Followed Hyperlink" xfId="454" builtinId="9" hidden="1"/>
    <cellStyle name="Followed Hyperlink" xfId="456" builtinId="9" hidden="1"/>
    <cellStyle name="Followed Hyperlink" xfId="458" builtinId="9" hidden="1"/>
    <cellStyle name="Followed Hyperlink" xfId="460" builtinId="9" hidden="1"/>
    <cellStyle name="Followed Hyperlink" xfId="462" builtinId="9" hidden="1"/>
    <cellStyle name="Followed Hyperlink" xfId="464" builtinId="9" hidden="1"/>
    <cellStyle name="Followed Hyperlink" xfId="466" builtinId="9" hidden="1"/>
    <cellStyle name="Followed Hyperlink" xfId="468" builtinId="9" hidden="1"/>
    <cellStyle name="Followed Hyperlink" xfId="470" builtinId="9" hidden="1"/>
    <cellStyle name="Followed Hyperlink" xfId="472" builtinId="9" hidden="1"/>
    <cellStyle name="Followed Hyperlink" xfId="474" builtinId="9" hidden="1"/>
    <cellStyle name="Followed Hyperlink" xfId="476" builtinId="9" hidden="1"/>
    <cellStyle name="Followed Hyperlink" xfId="478" builtinId="9" hidden="1"/>
    <cellStyle name="Followed Hyperlink" xfId="480" builtinId="9" hidden="1"/>
    <cellStyle name="Followed Hyperlink" xfId="482" builtinId="9" hidden="1"/>
    <cellStyle name="Followed Hyperlink" xfId="484" builtinId="9" hidden="1"/>
    <cellStyle name="Followed Hyperlink" xfId="486" builtinId="9" hidden="1"/>
    <cellStyle name="Followed Hyperlink" xfId="488" builtinId="9" hidden="1"/>
    <cellStyle name="Hyperlink" xfId="2" builtinId="8" hidden="1"/>
    <cellStyle name="Hyperlink" xfId="4" builtinId="8" hidden="1"/>
    <cellStyle name="Hyperlink" xfId="6" builtinId="8" hidden="1"/>
    <cellStyle name="Hyperlink" xfId="8" builtinId="8" hidden="1"/>
    <cellStyle name="Hyperlink" xfId="10" builtinId="8" hidden="1"/>
    <cellStyle name="Hyperlink" xfId="12" builtinId="8" hidden="1"/>
    <cellStyle name="Hyperlink" xfId="14" builtinId="8" hidden="1"/>
    <cellStyle name="Hyperlink" xfId="16" builtinId="8" hidden="1"/>
    <cellStyle name="Hyperlink" xfId="18" builtinId="8" hidden="1"/>
    <cellStyle name="Hyperlink" xfId="20" builtinId="8" hidden="1"/>
    <cellStyle name="Hyperlink" xfId="22" builtinId="8" hidden="1"/>
    <cellStyle name="Hyperlink" xfId="24" builtinId="8" hidden="1"/>
    <cellStyle name="Hyperlink" xfId="26" builtinId="8" hidden="1"/>
    <cellStyle name="Hyperlink" xfId="28" builtinId="8" hidden="1"/>
    <cellStyle name="Hyperlink" xfId="30" builtinId="8" hidden="1"/>
    <cellStyle name="Hyperlink" xfId="32" builtinId="8" hidden="1"/>
    <cellStyle name="Hyperlink" xfId="34" builtinId="8" hidden="1"/>
    <cellStyle name="Hyperlink" xfId="36" builtinId="8" hidden="1"/>
    <cellStyle name="Hyperlink" xfId="38" builtinId="8" hidden="1"/>
    <cellStyle name="Hyperlink" xfId="40" builtinId="8" hidden="1"/>
    <cellStyle name="Hyperlink" xfId="42" builtinId="8" hidden="1"/>
    <cellStyle name="Hyperlink" xfId="44" builtinId="8" hidden="1"/>
    <cellStyle name="Hyperlink" xfId="46" builtinId="8" hidden="1"/>
    <cellStyle name="Hyperlink" xfId="48" builtinId="8" hidden="1"/>
    <cellStyle name="Hyperlink" xfId="50" builtinId="8" hidden="1"/>
    <cellStyle name="Hyperlink" xfId="52" builtinId="8" hidden="1"/>
    <cellStyle name="Hyperlink" xfId="54" builtinId="8" hidden="1"/>
    <cellStyle name="Hyperlink" xfId="56" builtinId="8" hidden="1"/>
    <cellStyle name="Hyperlink" xfId="58" builtinId="8" hidden="1"/>
    <cellStyle name="Hyperlink" xfId="60" builtinId="8" hidden="1"/>
    <cellStyle name="Hyperlink" xfId="62" builtinId="8" hidden="1"/>
    <cellStyle name="Hyperlink" xfId="64" builtinId="8" hidden="1"/>
    <cellStyle name="Hyperlink" xfId="66" builtinId="8" hidden="1"/>
    <cellStyle name="Hyperlink" xfId="68" builtinId="8" hidden="1"/>
    <cellStyle name="Hyperlink" xfId="70" builtinId="8" hidden="1"/>
    <cellStyle name="Hyperlink" xfId="72" builtinId="8" hidden="1"/>
    <cellStyle name="Hyperlink" xfId="74" builtinId="8" hidden="1"/>
    <cellStyle name="Hyperlink" xfId="76" builtinId="8" hidden="1"/>
    <cellStyle name="Hyperlink" xfId="78" builtinId="8" hidden="1"/>
    <cellStyle name="Hyperlink" xfId="80" builtinId="8" hidden="1"/>
    <cellStyle name="Hyperlink" xfId="82" builtinId="8" hidden="1"/>
    <cellStyle name="Hyperlink" xfId="84" builtinId="8" hidden="1"/>
    <cellStyle name="Hyperlink" xfId="86" builtinId="8" hidden="1"/>
    <cellStyle name="Hyperlink" xfId="88" builtinId="8" hidden="1"/>
    <cellStyle name="Hyperlink" xfId="90" builtinId="8" hidden="1"/>
    <cellStyle name="Hyperlink" xfId="92" builtinId="8" hidden="1"/>
    <cellStyle name="Hyperlink" xfId="94" builtinId="8" hidden="1"/>
    <cellStyle name="Hyperlink" xfId="96" builtinId="8" hidden="1"/>
    <cellStyle name="Hyperlink" xfId="98" builtinId="8" hidden="1"/>
    <cellStyle name="Hyperlink" xfId="100" builtinId="8" hidden="1"/>
    <cellStyle name="Hyperlink" xfId="102" builtinId="8" hidden="1"/>
    <cellStyle name="Hyperlink" xfId="104" builtinId="8" hidden="1"/>
    <cellStyle name="Hyperlink" xfId="106" builtinId="8" hidden="1"/>
    <cellStyle name="Hyperlink" xfId="108" builtinId="8" hidden="1"/>
    <cellStyle name="Hyperlink" xfId="110" builtinId="8" hidden="1"/>
    <cellStyle name="Hyperlink" xfId="112" builtinId="8" hidden="1"/>
    <cellStyle name="Hyperlink" xfId="114" builtinId="8" hidden="1"/>
    <cellStyle name="Hyperlink" xfId="116" builtinId="8" hidden="1"/>
    <cellStyle name="Hyperlink" xfId="118" builtinId="8" hidden="1"/>
    <cellStyle name="Hyperlink" xfId="120" builtinId="8" hidden="1"/>
    <cellStyle name="Hyperlink" xfId="122" builtinId="8" hidden="1"/>
    <cellStyle name="Hyperlink" xfId="124" builtinId="8" hidden="1"/>
    <cellStyle name="Hyperlink" xfId="126" builtinId="8" hidden="1"/>
    <cellStyle name="Hyperlink" xfId="128" builtinId="8" hidden="1"/>
    <cellStyle name="Hyperlink" xfId="130" builtinId="8" hidden="1"/>
    <cellStyle name="Hyperlink" xfId="132" builtinId="8" hidden="1"/>
    <cellStyle name="Hyperlink" xfId="134" builtinId="8" hidden="1"/>
    <cellStyle name="Hyperlink" xfId="136" builtinId="8" hidden="1"/>
    <cellStyle name="Hyperlink" xfId="138" builtinId="8" hidden="1"/>
    <cellStyle name="Hyperlink" xfId="140" builtinId="8" hidden="1"/>
    <cellStyle name="Hyperlink" xfId="142" builtinId="8" hidden="1"/>
    <cellStyle name="Hyperlink" xfId="144" builtinId="8" hidden="1"/>
    <cellStyle name="Hyperlink" xfId="146" builtinId="8" hidden="1"/>
    <cellStyle name="Hyperlink" xfId="148" builtinId="8" hidden="1"/>
    <cellStyle name="Hyperlink" xfId="150" builtinId="8" hidden="1"/>
    <cellStyle name="Hyperlink" xfId="152" builtinId="8" hidden="1"/>
    <cellStyle name="Hyperlink" xfId="154" builtinId="8" hidden="1"/>
    <cellStyle name="Hyperlink" xfId="156" builtinId="8" hidden="1"/>
    <cellStyle name="Hyperlink" xfId="158" builtinId="8" hidden="1"/>
    <cellStyle name="Hyperlink" xfId="160" builtinId="8" hidden="1"/>
    <cellStyle name="Hyperlink" xfId="162" builtinId="8" hidden="1"/>
    <cellStyle name="Hyperlink" xfId="164" builtinId="8" hidden="1"/>
    <cellStyle name="Hyperlink" xfId="166" builtinId="8" hidden="1"/>
    <cellStyle name="Hyperlink" xfId="168" builtinId="8" hidden="1"/>
    <cellStyle name="Hyperlink" xfId="170" builtinId="8" hidden="1"/>
    <cellStyle name="Hyperlink" xfId="172" builtinId="8" hidden="1"/>
    <cellStyle name="Hyperlink" xfId="174" builtinId="8" hidden="1"/>
    <cellStyle name="Hyperlink" xfId="176" builtinId="8" hidden="1"/>
    <cellStyle name="Hyperlink" xfId="178" builtinId="8" hidden="1"/>
    <cellStyle name="Hyperlink" xfId="180" builtinId="8" hidden="1"/>
    <cellStyle name="Hyperlink" xfId="182" builtinId="8" hidden="1"/>
    <cellStyle name="Hyperlink" xfId="184" builtinId="8" hidden="1"/>
    <cellStyle name="Hyperlink" xfId="186" builtinId="8" hidden="1"/>
    <cellStyle name="Hyperlink" xfId="188" builtinId="8" hidden="1"/>
    <cellStyle name="Hyperlink" xfId="190" builtinId="8" hidden="1"/>
    <cellStyle name="Hyperlink" xfId="192" builtinId="8" hidden="1"/>
    <cellStyle name="Hyperlink" xfId="194" builtinId="8" hidden="1"/>
    <cellStyle name="Hyperlink" xfId="196" builtinId="8" hidden="1"/>
    <cellStyle name="Hyperlink" xfId="198" builtinId="8" hidden="1"/>
    <cellStyle name="Hyperlink" xfId="200" builtinId="8" hidden="1"/>
    <cellStyle name="Hyperlink" xfId="202" builtinId="8" hidden="1"/>
    <cellStyle name="Hyperlink" xfId="204" builtinId="8" hidden="1"/>
    <cellStyle name="Hyperlink" xfId="206" builtinId="8" hidden="1"/>
    <cellStyle name="Hyperlink" xfId="208" builtinId="8" hidden="1"/>
    <cellStyle name="Hyperlink" xfId="210" builtinId="8" hidden="1"/>
    <cellStyle name="Hyperlink" xfId="212" builtinId="8" hidden="1"/>
    <cellStyle name="Hyperlink" xfId="214" builtinId="8" hidden="1"/>
    <cellStyle name="Hyperlink" xfId="216" builtinId="8" hidden="1"/>
    <cellStyle name="Hyperlink" xfId="218" builtinId="8" hidden="1"/>
    <cellStyle name="Hyperlink" xfId="220" builtinId="8" hidden="1"/>
    <cellStyle name="Hyperlink" xfId="222" builtinId="8" hidden="1"/>
    <cellStyle name="Hyperlink" xfId="224" builtinId="8" hidden="1"/>
    <cellStyle name="Hyperlink" xfId="226" builtinId="8" hidden="1"/>
    <cellStyle name="Hyperlink" xfId="228" builtinId="8" hidden="1"/>
    <cellStyle name="Hyperlink" xfId="230" builtinId="8" hidden="1"/>
    <cellStyle name="Hyperlink" xfId="232" builtinId="8" hidden="1"/>
    <cellStyle name="Hyperlink" xfId="234" builtinId="8" hidden="1"/>
    <cellStyle name="Hyperlink" xfId="236" builtinId="8" hidden="1"/>
    <cellStyle name="Hyperlink" xfId="238" builtinId="8" hidden="1"/>
    <cellStyle name="Hyperlink" xfId="240" builtinId="8" hidden="1"/>
    <cellStyle name="Hyperlink" xfId="242" builtinId="8" hidden="1"/>
    <cellStyle name="Hyperlink" xfId="244" builtinId="8" hidden="1"/>
    <cellStyle name="Hyperlink" xfId="246" builtinId="8" hidden="1"/>
    <cellStyle name="Hyperlink" xfId="248" builtinId="8" hidden="1"/>
    <cellStyle name="Hyperlink" xfId="250" builtinId="8" hidden="1"/>
    <cellStyle name="Hyperlink" xfId="252" builtinId="8" hidden="1"/>
    <cellStyle name="Hyperlink" xfId="254" builtinId="8" hidden="1"/>
    <cellStyle name="Hyperlink" xfId="256" builtinId="8" hidden="1"/>
    <cellStyle name="Hyperlink" xfId="258" builtinId="8" hidden="1"/>
    <cellStyle name="Hyperlink" xfId="260" builtinId="8" hidden="1"/>
    <cellStyle name="Hyperlink" xfId="262" builtinId="8" hidden="1"/>
    <cellStyle name="Hyperlink" xfId="264" builtinId="8" hidden="1"/>
    <cellStyle name="Hyperlink" xfId="266" builtinId="8" hidden="1"/>
    <cellStyle name="Hyperlink" xfId="268" builtinId="8" hidden="1"/>
    <cellStyle name="Hyperlink" xfId="270" builtinId="8" hidden="1"/>
    <cellStyle name="Hyperlink" xfId="272" builtinId="8" hidden="1"/>
    <cellStyle name="Hyperlink" xfId="274" builtinId="8" hidden="1"/>
    <cellStyle name="Hyperlink" xfId="276" builtinId="8" hidden="1"/>
    <cellStyle name="Hyperlink" xfId="278" builtinId="8" hidden="1"/>
    <cellStyle name="Hyperlink" xfId="280" builtinId="8" hidden="1"/>
    <cellStyle name="Hyperlink" xfId="282" builtinId="8" hidden="1"/>
    <cellStyle name="Hyperlink" xfId="284" builtinId="8" hidden="1"/>
    <cellStyle name="Hyperlink" xfId="286" builtinId="8" hidden="1"/>
    <cellStyle name="Hyperlink" xfId="288" builtinId="8" hidden="1"/>
    <cellStyle name="Hyperlink" xfId="290" builtinId="8" hidden="1"/>
    <cellStyle name="Hyperlink" xfId="292" builtinId="8" hidden="1"/>
    <cellStyle name="Hyperlink" xfId="294" builtinId="8" hidden="1"/>
    <cellStyle name="Hyperlink" xfId="296" builtinId="8" hidden="1"/>
    <cellStyle name="Hyperlink" xfId="298" builtinId="8" hidden="1"/>
    <cellStyle name="Hyperlink" xfId="300" builtinId="8" hidden="1"/>
    <cellStyle name="Hyperlink" xfId="302" builtinId="8" hidden="1"/>
    <cellStyle name="Hyperlink" xfId="304" builtinId="8" hidden="1"/>
    <cellStyle name="Hyperlink" xfId="306" builtinId="8" hidden="1"/>
    <cellStyle name="Hyperlink" xfId="308" builtinId="8" hidden="1"/>
    <cellStyle name="Hyperlink" xfId="310" builtinId="8" hidden="1"/>
    <cellStyle name="Hyperlink" xfId="312" builtinId="8" hidden="1"/>
    <cellStyle name="Hyperlink" xfId="314" builtinId="8" hidden="1"/>
    <cellStyle name="Hyperlink" xfId="316" builtinId="8" hidden="1"/>
    <cellStyle name="Hyperlink" xfId="318" builtinId="8" hidden="1"/>
    <cellStyle name="Hyperlink" xfId="320" builtinId="8" hidden="1"/>
    <cellStyle name="Hyperlink" xfId="322" builtinId="8" hidden="1"/>
    <cellStyle name="Hyperlink" xfId="324" builtinId="8" hidden="1"/>
    <cellStyle name="Hyperlink" xfId="326" builtinId="8" hidden="1"/>
    <cellStyle name="Hyperlink" xfId="328" builtinId="8" hidden="1"/>
    <cellStyle name="Hyperlink" xfId="330" builtinId="8" hidden="1"/>
    <cellStyle name="Hyperlink" xfId="332" builtinId="8" hidden="1"/>
    <cellStyle name="Hyperlink" xfId="334" builtinId="8" hidden="1"/>
    <cellStyle name="Hyperlink" xfId="336" builtinId="8" hidden="1"/>
    <cellStyle name="Hyperlink" xfId="338" builtinId="8" hidden="1"/>
    <cellStyle name="Hyperlink" xfId="340" builtinId="8" hidden="1"/>
    <cellStyle name="Hyperlink" xfId="342" builtinId="8" hidden="1"/>
    <cellStyle name="Hyperlink" xfId="344" builtinId="8" hidden="1"/>
    <cellStyle name="Hyperlink" xfId="346" builtinId="8" hidden="1"/>
    <cellStyle name="Hyperlink" xfId="348" builtinId="8" hidden="1"/>
    <cellStyle name="Hyperlink" xfId="350" builtinId="8" hidden="1"/>
    <cellStyle name="Hyperlink" xfId="352" builtinId="8" hidden="1"/>
    <cellStyle name="Hyperlink" xfId="354" builtinId="8" hidden="1"/>
    <cellStyle name="Hyperlink" xfId="356" builtinId="8" hidden="1"/>
    <cellStyle name="Hyperlink" xfId="358" builtinId="8" hidden="1"/>
    <cellStyle name="Hyperlink" xfId="360" builtinId="8" hidden="1"/>
    <cellStyle name="Hyperlink" xfId="362" builtinId="8" hidden="1"/>
    <cellStyle name="Hyperlink" xfId="364" builtinId="8" hidden="1"/>
    <cellStyle name="Hyperlink" xfId="366" builtinId="8" hidden="1"/>
    <cellStyle name="Hyperlink" xfId="368" builtinId="8" hidden="1"/>
    <cellStyle name="Hyperlink" xfId="370" builtinId="8" hidden="1"/>
    <cellStyle name="Hyperlink" xfId="373" builtinId="8" hidden="1"/>
    <cellStyle name="Hyperlink" xfId="375" builtinId="8" hidden="1"/>
    <cellStyle name="Hyperlink" xfId="377" builtinId="8" hidden="1"/>
    <cellStyle name="Hyperlink" xfId="379" builtinId="8" hidden="1"/>
    <cellStyle name="Hyperlink" xfId="381" builtinId="8" hidden="1"/>
    <cellStyle name="Hyperlink" xfId="383" builtinId="8" hidden="1"/>
    <cellStyle name="Hyperlink" xfId="385" builtinId="8" hidden="1"/>
    <cellStyle name="Hyperlink" xfId="387" builtinId="8" hidden="1"/>
    <cellStyle name="Hyperlink" xfId="389" builtinId="8" hidden="1"/>
    <cellStyle name="Hyperlink" xfId="391" builtinId="8" hidden="1"/>
    <cellStyle name="Hyperlink" xfId="393" builtinId="8" hidden="1"/>
    <cellStyle name="Hyperlink" xfId="395" builtinId="8" hidden="1"/>
    <cellStyle name="Hyperlink" xfId="397" builtinId="8" hidden="1"/>
    <cellStyle name="Hyperlink" xfId="399" builtinId="8" hidden="1"/>
    <cellStyle name="Hyperlink" xfId="401" builtinId="8" hidden="1"/>
    <cellStyle name="Hyperlink" xfId="403" builtinId="8" hidden="1"/>
    <cellStyle name="Hyperlink" xfId="405" builtinId="8" hidden="1"/>
    <cellStyle name="Hyperlink" xfId="407" builtinId="8" hidden="1"/>
    <cellStyle name="Hyperlink" xfId="409" builtinId="8" hidden="1"/>
    <cellStyle name="Hyperlink" xfId="411" builtinId="8" hidden="1"/>
    <cellStyle name="Hyperlink" xfId="413" builtinId="8" hidden="1"/>
    <cellStyle name="Hyperlink" xfId="415" builtinId="8" hidden="1"/>
    <cellStyle name="Hyperlink" xfId="417" builtinId="8" hidden="1"/>
    <cellStyle name="Hyperlink" xfId="419" builtinId="8" hidden="1"/>
    <cellStyle name="Hyperlink" xfId="421" builtinId="8" hidden="1"/>
    <cellStyle name="Hyperlink" xfId="423" builtinId="8" hidden="1"/>
    <cellStyle name="Hyperlink" xfId="425" builtinId="8" hidden="1"/>
    <cellStyle name="Hyperlink" xfId="427" builtinId="8" hidden="1"/>
    <cellStyle name="Hyperlink" xfId="429" builtinId="8" hidden="1"/>
    <cellStyle name="Hyperlink" xfId="431" builtinId="8" hidden="1"/>
    <cellStyle name="Hyperlink" xfId="433" builtinId="8" hidden="1"/>
    <cellStyle name="Hyperlink" xfId="435" builtinId="8" hidden="1"/>
    <cellStyle name="Hyperlink" xfId="437" builtinId="8" hidden="1"/>
    <cellStyle name="Hyperlink" xfId="439" builtinId="8" hidden="1"/>
    <cellStyle name="Hyperlink" xfId="441" builtinId="8" hidden="1"/>
    <cellStyle name="Hyperlink" xfId="443" builtinId="8" hidden="1"/>
    <cellStyle name="Hyperlink" xfId="445" builtinId="8" hidden="1"/>
    <cellStyle name="Hyperlink" xfId="447" builtinId="8" hidden="1"/>
    <cellStyle name="Hyperlink" xfId="449" builtinId="8" hidden="1"/>
    <cellStyle name="Hyperlink" xfId="451" builtinId="8" hidden="1"/>
    <cellStyle name="Hyperlink" xfId="453" builtinId="8" hidden="1"/>
    <cellStyle name="Hyperlink" xfId="455" builtinId="8" hidden="1"/>
    <cellStyle name="Hyperlink" xfId="457" builtinId="8" hidden="1"/>
    <cellStyle name="Hyperlink" xfId="459" builtinId="8" hidden="1"/>
    <cellStyle name="Hyperlink" xfId="461" builtinId="8" hidden="1"/>
    <cellStyle name="Hyperlink" xfId="463" builtinId="8" hidden="1"/>
    <cellStyle name="Hyperlink" xfId="465" builtinId="8" hidden="1"/>
    <cellStyle name="Hyperlink" xfId="467" builtinId="8" hidden="1"/>
    <cellStyle name="Hyperlink" xfId="469" builtinId="8" hidden="1"/>
    <cellStyle name="Hyperlink" xfId="471" builtinId="8" hidden="1"/>
    <cellStyle name="Hyperlink" xfId="473" builtinId="8" hidden="1"/>
    <cellStyle name="Hyperlink" xfId="475" builtinId="8" hidden="1"/>
    <cellStyle name="Hyperlink" xfId="477" builtinId="8" hidden="1"/>
    <cellStyle name="Hyperlink" xfId="479" builtinId="8" hidden="1"/>
    <cellStyle name="Hyperlink" xfId="481" builtinId="8" hidden="1"/>
    <cellStyle name="Hyperlink" xfId="483" builtinId="8" hidden="1"/>
    <cellStyle name="Hyperlink" xfId="485" builtinId="8" hidden="1"/>
    <cellStyle name="Hyperlink" xfId="487" builtinId="8" hidden="1"/>
    <cellStyle name="Normal" xfId="0" builtinId="0"/>
    <cellStyle name="Normal 2" xfId="1"/>
    <cellStyle name="Percent" xfId="372" builtinId="5"/>
  </cellStyles>
  <dxfs count="0"/>
  <tableStyles count="0" defaultTableStyle="TableStyleMedium9" defaultPivotStyle="PivotStyleMedium4"/>
</styleSheet>
</file>

<file path=xl/_rels/workbook.xml.rels><?xml version="1.0" encoding="UTF-8" standalone="yes"?>
<Relationships xmlns="http://schemas.openxmlformats.org/package/2006/relationships"><Relationship Id="rId11" Type="http://schemas.openxmlformats.org/officeDocument/2006/relationships/sharedStrings" Target="sharedStrings.xml"/><Relationship Id="rId12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Relationship Id="rId3" Type="http://schemas.openxmlformats.org/officeDocument/2006/relationships/worksheet" Target="worksheets/sheet3.xml"/><Relationship Id="rId4" Type="http://schemas.openxmlformats.org/officeDocument/2006/relationships/worksheet" Target="worksheets/sheet4.xml"/><Relationship Id="rId5" Type="http://schemas.openxmlformats.org/officeDocument/2006/relationships/worksheet" Target="worksheets/sheet5.xml"/><Relationship Id="rId6" Type="http://schemas.openxmlformats.org/officeDocument/2006/relationships/worksheet" Target="worksheets/sheet6.xml"/><Relationship Id="rId7" Type="http://schemas.openxmlformats.org/officeDocument/2006/relationships/worksheet" Target="worksheets/sheet7.xml"/><Relationship Id="rId8" Type="http://schemas.openxmlformats.org/officeDocument/2006/relationships/worksheet" Target="worksheets/sheet8.xml"/><Relationship Id="rId9" Type="http://schemas.openxmlformats.org/officeDocument/2006/relationships/theme" Target="theme/theme1.xml"/><Relationship Id="rId10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0</xdr:row>
      <xdr:rowOff>0</xdr:rowOff>
    </xdr:from>
    <xdr:to>
      <xdr:col>8</xdr:col>
      <xdr:colOff>266700</xdr:colOff>
      <xdr:row>60</xdr:row>
      <xdr:rowOff>152400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300" y="0"/>
          <a:ext cx="7772400" cy="100584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88900</xdr:colOff>
      <xdr:row>0</xdr:row>
      <xdr:rowOff>50800</xdr:rowOff>
    </xdr:from>
    <xdr:to>
      <xdr:col>8</xdr:col>
      <xdr:colOff>241300</xdr:colOff>
      <xdr:row>61</xdr:row>
      <xdr:rowOff>38100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900" y="50800"/>
          <a:ext cx="7772400" cy="100584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25400</xdr:colOff>
      <xdr:row>0</xdr:row>
      <xdr:rowOff>12700</xdr:rowOff>
    </xdr:from>
    <xdr:to>
      <xdr:col>8</xdr:col>
      <xdr:colOff>177800</xdr:colOff>
      <xdr:row>61</xdr:row>
      <xdr:rowOff>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400" y="12700"/>
          <a:ext cx="7772400" cy="100584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152400</xdr:colOff>
      <xdr:row>60</xdr:row>
      <xdr:rowOff>152400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772400" cy="100584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152400</xdr:colOff>
      <xdr:row>60</xdr:row>
      <xdr:rowOff>152400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772400" cy="100584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152400</xdr:colOff>
      <xdr:row>60</xdr:row>
      <xdr:rowOff>152400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772400" cy="10058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vmlDrawing" Target="../drawings/vmlDrawing1.vml"/><Relationship Id="rId2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2:AA93"/>
  <sheetViews>
    <sheetView tabSelected="1" topLeftCell="A49" workbookViewId="0">
      <selection activeCell="A81" sqref="A81"/>
    </sheetView>
  </sheetViews>
  <sheetFormatPr baseColWidth="10" defaultRowHeight="13" x14ac:dyDescent="0"/>
  <cols>
    <col min="1" max="1" width="12.85546875" customWidth="1"/>
    <col min="2" max="2" width="17.42578125" customWidth="1"/>
    <col min="3" max="3" width="7.42578125" customWidth="1"/>
    <col min="4" max="4" width="9.5703125" customWidth="1"/>
    <col min="5" max="6" width="10.85546875" customWidth="1"/>
    <col min="7" max="7" width="7.28515625" customWidth="1"/>
    <col min="8" max="8" width="8" customWidth="1"/>
    <col min="9" max="9" width="8.5703125" customWidth="1"/>
    <col min="10" max="10" width="8.7109375" customWidth="1"/>
    <col min="11" max="11" width="8.85546875" customWidth="1"/>
    <col min="12" max="12" width="9" customWidth="1"/>
    <col min="13" max="13" width="9.42578125" customWidth="1"/>
    <col min="14" max="14" width="9" customWidth="1"/>
    <col min="16" max="16" width="9.140625" customWidth="1"/>
    <col min="17" max="17" width="6.85546875" customWidth="1"/>
    <col min="18" max="18" width="11.42578125" customWidth="1"/>
    <col min="19" max="19" width="8.5703125" customWidth="1"/>
    <col min="20" max="20" width="9" customWidth="1"/>
    <col min="21" max="21" width="11.28515625" customWidth="1"/>
    <col min="22" max="22" width="12.28515625" customWidth="1"/>
    <col min="23" max="23" width="8.85546875" customWidth="1"/>
    <col min="24" max="24" width="9.140625" customWidth="1"/>
    <col min="25" max="25" width="6.7109375" customWidth="1"/>
    <col min="26" max="26" width="10" customWidth="1"/>
  </cols>
  <sheetData>
    <row r="2" spans="1:27" ht="39" customHeight="1" thickBot="1">
      <c r="A2" s="38" t="s">
        <v>35</v>
      </c>
      <c r="B2" s="39" t="s">
        <v>36</v>
      </c>
      <c r="C2" s="96" t="s">
        <v>37</v>
      </c>
      <c r="D2" s="96"/>
      <c r="E2" s="96"/>
      <c r="F2" s="96"/>
      <c r="G2" s="97"/>
    </row>
    <row r="3" spans="1:27" ht="14" thickTop="1">
      <c r="A3" s="34">
        <v>3</v>
      </c>
      <c r="B3" s="36" t="s">
        <v>38</v>
      </c>
      <c r="C3" s="87" t="s">
        <v>43</v>
      </c>
      <c r="D3" s="88"/>
      <c r="E3" s="88"/>
      <c r="F3" s="88"/>
      <c r="G3" s="89"/>
    </row>
    <row r="4" spans="1:27">
      <c r="A4" s="34">
        <v>0.6</v>
      </c>
      <c r="B4" s="36" t="s">
        <v>39</v>
      </c>
      <c r="C4" s="87" t="s">
        <v>43</v>
      </c>
      <c r="D4" s="88"/>
      <c r="E4" s="88"/>
      <c r="F4" s="88"/>
      <c r="G4" s="89"/>
    </row>
    <row r="5" spans="1:27">
      <c r="A5" s="34">
        <v>0.2</v>
      </c>
      <c r="B5" s="36" t="s">
        <v>40</v>
      </c>
      <c r="C5" s="87" t="s">
        <v>42</v>
      </c>
      <c r="D5" s="88"/>
      <c r="E5" s="88"/>
      <c r="F5" s="88"/>
      <c r="G5" s="89"/>
    </row>
    <row r="6" spans="1:27">
      <c r="A6" s="34">
        <v>0.02</v>
      </c>
      <c r="B6" s="36" t="s">
        <v>41</v>
      </c>
      <c r="C6" s="87" t="s">
        <v>44</v>
      </c>
      <c r="D6" s="88"/>
      <c r="E6" s="88"/>
      <c r="F6" s="88"/>
      <c r="G6" s="89"/>
      <c r="Y6" s="98"/>
      <c r="Z6" s="98"/>
    </row>
    <row r="7" spans="1:27">
      <c r="A7" s="34" t="s">
        <v>19</v>
      </c>
      <c r="B7" s="36" t="s">
        <v>45</v>
      </c>
      <c r="C7" s="87" t="s">
        <v>42</v>
      </c>
      <c r="D7" s="88"/>
      <c r="E7" s="88"/>
      <c r="F7" s="88"/>
      <c r="G7" s="89"/>
    </row>
    <row r="8" spans="1:27">
      <c r="A8" s="35" t="s">
        <v>13</v>
      </c>
      <c r="B8" s="37" t="s">
        <v>46</v>
      </c>
      <c r="C8" s="90" t="s">
        <v>44</v>
      </c>
      <c r="D8" s="91"/>
      <c r="E8" s="91"/>
      <c r="F8" s="91"/>
      <c r="G8" s="92"/>
    </row>
    <row r="9" spans="1:27">
      <c r="Z9" s="73"/>
    </row>
    <row r="10" spans="1:27" ht="29" customHeight="1">
      <c r="F10" s="186" t="s">
        <v>237</v>
      </c>
      <c r="G10" s="186"/>
      <c r="H10" s="186"/>
      <c r="I10" s="185"/>
      <c r="J10" s="185"/>
      <c r="R10" s="71"/>
      <c r="Y10" s="8"/>
      <c r="Z10" s="8"/>
    </row>
    <row r="11" spans="1:27" ht="39" customHeight="1">
      <c r="A11" s="109" t="s">
        <v>34</v>
      </c>
      <c r="B11" s="110"/>
      <c r="C11" s="110"/>
      <c r="D11" s="116"/>
      <c r="E11" s="111"/>
      <c r="F11" s="113" t="s">
        <v>215</v>
      </c>
      <c r="G11" s="184"/>
      <c r="H11" s="114"/>
      <c r="I11" s="93" t="s">
        <v>29</v>
      </c>
      <c r="J11" s="94"/>
      <c r="K11" s="94"/>
      <c r="L11" s="94"/>
      <c r="M11" s="94"/>
      <c r="N11" s="94"/>
      <c r="O11" s="94"/>
      <c r="P11" s="94"/>
      <c r="Q11" s="94"/>
      <c r="R11" s="95"/>
      <c r="S11" s="93" t="s">
        <v>47</v>
      </c>
      <c r="T11" s="94"/>
      <c r="U11" s="94"/>
      <c r="V11" s="94"/>
      <c r="W11" s="94"/>
      <c r="X11" s="94"/>
      <c r="Y11" s="94"/>
      <c r="Z11" s="95"/>
    </row>
    <row r="12" spans="1:27" ht="56" customHeight="1">
      <c r="A12" s="5" t="s">
        <v>24</v>
      </c>
      <c r="B12" s="6" t="s">
        <v>189</v>
      </c>
      <c r="C12" s="15" t="s">
        <v>23</v>
      </c>
      <c r="D12" s="15" t="s">
        <v>188</v>
      </c>
      <c r="E12" s="17" t="s">
        <v>190</v>
      </c>
      <c r="F12" s="115" t="s">
        <v>216</v>
      </c>
      <c r="G12" s="15" t="s">
        <v>217</v>
      </c>
      <c r="H12" s="15" t="s">
        <v>238</v>
      </c>
      <c r="I12" s="65" t="s">
        <v>0</v>
      </c>
      <c r="J12" s="15" t="s">
        <v>6</v>
      </c>
      <c r="K12" s="16" t="s">
        <v>7</v>
      </c>
      <c r="L12" s="16" t="s">
        <v>187</v>
      </c>
      <c r="M12" s="15" t="s">
        <v>25</v>
      </c>
      <c r="N12" s="153" t="s">
        <v>186</v>
      </c>
      <c r="O12" s="15" t="s">
        <v>1</v>
      </c>
      <c r="P12" s="15" t="s">
        <v>26</v>
      </c>
      <c r="Q12" s="17" t="s">
        <v>8</v>
      </c>
      <c r="R12" s="15" t="s">
        <v>184</v>
      </c>
      <c r="S12" s="160" t="s">
        <v>28</v>
      </c>
      <c r="T12" s="5" t="s">
        <v>2</v>
      </c>
      <c r="U12" s="6" t="s">
        <v>31</v>
      </c>
      <c r="V12" s="6" t="s">
        <v>30</v>
      </c>
      <c r="W12" s="6" t="s">
        <v>32</v>
      </c>
      <c r="X12" s="6" t="s">
        <v>185</v>
      </c>
      <c r="Y12" s="6" t="s">
        <v>3</v>
      </c>
      <c r="Z12" s="72" t="s">
        <v>4</v>
      </c>
      <c r="AA12" s="102" t="s">
        <v>5</v>
      </c>
    </row>
    <row r="13" spans="1:27">
      <c r="A13" s="7">
        <v>20150611</v>
      </c>
      <c r="B13" s="8" t="s">
        <v>229</v>
      </c>
      <c r="C13" s="8">
        <v>25</v>
      </c>
      <c r="D13" s="8">
        <v>3</v>
      </c>
      <c r="E13" s="9"/>
      <c r="F13" s="54" t="s">
        <v>205</v>
      </c>
      <c r="G13" s="8"/>
      <c r="H13" s="8"/>
      <c r="I13" s="66">
        <v>1</v>
      </c>
      <c r="J13" s="8">
        <v>50</v>
      </c>
      <c r="K13" s="8">
        <v>100</v>
      </c>
      <c r="L13" s="26">
        <v>2</v>
      </c>
      <c r="M13" s="26">
        <v>129</v>
      </c>
      <c r="N13" s="154">
        <f t="shared" ref="N13:N44" si="0">M13*K13/1000/L13</f>
        <v>6.45</v>
      </c>
      <c r="O13" s="51">
        <f t="shared" ref="O13:O52" si="1">N13*1000*0.05</f>
        <v>322.5</v>
      </c>
      <c r="P13" s="19">
        <f t="shared" ref="P13:P32" si="2">800/1420</f>
        <v>0.56338028169014087</v>
      </c>
      <c r="Q13" s="69">
        <f>O13/P13/1000</f>
        <v>0.57243750000000004</v>
      </c>
      <c r="R13" s="8">
        <v>4.0999999999999996</v>
      </c>
      <c r="S13" s="161">
        <f t="shared" ref="S13:S73" si="3">Q13/R13</f>
        <v>0.13961890243902442</v>
      </c>
      <c r="T13" s="21" t="s">
        <v>9</v>
      </c>
      <c r="U13" s="22">
        <v>319</v>
      </c>
      <c r="V13" s="22">
        <f>U13*100/1000</f>
        <v>31.9</v>
      </c>
      <c r="W13" s="22">
        <f>V13*50</f>
        <v>1595</v>
      </c>
      <c r="X13" s="22">
        <f>100/V13</f>
        <v>3.134796238244514</v>
      </c>
      <c r="Y13" s="22">
        <v>3</v>
      </c>
      <c r="Z13" s="24">
        <f>Y13*V13</f>
        <v>95.699999999999989</v>
      </c>
      <c r="AA13" s="103">
        <f>18-Y13</f>
        <v>15</v>
      </c>
    </row>
    <row r="14" spans="1:27">
      <c r="A14" s="7">
        <v>20150611</v>
      </c>
      <c r="B14" s="8" t="s">
        <v>229</v>
      </c>
      <c r="C14" s="8">
        <v>25</v>
      </c>
      <c r="D14" s="8">
        <v>0.6</v>
      </c>
      <c r="E14" s="9"/>
      <c r="F14" s="54" t="s">
        <v>205</v>
      </c>
      <c r="G14" s="8"/>
      <c r="H14" s="8"/>
      <c r="I14" s="66">
        <v>2</v>
      </c>
      <c r="J14" s="8">
        <v>50</v>
      </c>
      <c r="K14" s="8">
        <v>100</v>
      </c>
      <c r="L14" s="26">
        <v>2</v>
      </c>
      <c r="M14" s="26">
        <v>252</v>
      </c>
      <c r="N14" s="154">
        <f t="shared" si="0"/>
        <v>12.6</v>
      </c>
      <c r="O14" s="51">
        <f t="shared" si="1"/>
        <v>630</v>
      </c>
      <c r="P14" s="19">
        <f t="shared" si="2"/>
        <v>0.56338028169014087</v>
      </c>
      <c r="Q14" s="69">
        <f>O14/P14/1000</f>
        <v>1.11825</v>
      </c>
      <c r="R14" s="8">
        <v>1.85</v>
      </c>
      <c r="S14" s="161">
        <f t="shared" si="3"/>
        <v>0.60445945945945945</v>
      </c>
      <c r="T14" s="21" t="s">
        <v>12</v>
      </c>
      <c r="U14" s="22">
        <v>399</v>
      </c>
      <c r="V14" s="22">
        <f>U14*100/1000</f>
        <v>39.9</v>
      </c>
      <c r="W14" s="22">
        <f t="shared" ref="W14:W56" si="4">V14*50</f>
        <v>1995</v>
      </c>
      <c r="X14" s="22">
        <f t="shared" ref="X14:X56" si="5">100/V14</f>
        <v>2.5062656641604013</v>
      </c>
      <c r="Y14" s="22">
        <v>3</v>
      </c>
      <c r="Z14" s="24">
        <f t="shared" ref="Z14:Z56" si="6">Y14*V14</f>
        <v>119.69999999999999</v>
      </c>
      <c r="AA14" s="103">
        <f t="shared" ref="AA14:AA56" si="7">18-Y14</f>
        <v>15</v>
      </c>
    </row>
    <row r="15" spans="1:27" s="4" customFormat="1">
      <c r="A15" s="29">
        <v>20150611</v>
      </c>
      <c r="B15" s="8" t="s">
        <v>229</v>
      </c>
      <c r="C15" s="26">
        <v>25</v>
      </c>
      <c r="D15" s="26">
        <v>0.2</v>
      </c>
      <c r="E15" s="30"/>
      <c r="F15" s="54" t="s">
        <v>205</v>
      </c>
      <c r="G15" s="26"/>
      <c r="H15" s="26"/>
      <c r="I15" s="67">
        <v>3</v>
      </c>
      <c r="J15" s="26">
        <v>50</v>
      </c>
      <c r="K15" s="26">
        <v>100</v>
      </c>
      <c r="L15" s="26">
        <v>2</v>
      </c>
      <c r="M15" s="26">
        <v>284</v>
      </c>
      <c r="N15" s="155">
        <f t="shared" si="0"/>
        <v>14.2</v>
      </c>
      <c r="O15" s="52">
        <f t="shared" si="1"/>
        <v>710</v>
      </c>
      <c r="P15" s="55">
        <f t="shared" si="2"/>
        <v>0.56338028169014087</v>
      </c>
      <c r="Q15" s="70">
        <f>O15/P15/1000</f>
        <v>1.2602500000000001</v>
      </c>
      <c r="R15" s="26">
        <v>1.85</v>
      </c>
      <c r="S15" s="162">
        <f t="shared" si="3"/>
        <v>0.6812162162162162</v>
      </c>
      <c r="T15" s="56" t="s">
        <v>10</v>
      </c>
      <c r="U15" s="41">
        <v>399</v>
      </c>
      <c r="V15" s="41">
        <f>U15*100/1000</f>
        <v>39.9</v>
      </c>
      <c r="W15" s="41">
        <f t="shared" si="4"/>
        <v>1995</v>
      </c>
      <c r="X15" s="41">
        <f t="shared" si="5"/>
        <v>2.5062656641604013</v>
      </c>
      <c r="Y15" s="41">
        <v>3</v>
      </c>
      <c r="Z15" s="57">
        <f t="shared" si="6"/>
        <v>119.69999999999999</v>
      </c>
      <c r="AA15" s="104">
        <f t="shared" si="7"/>
        <v>15</v>
      </c>
    </row>
    <row r="16" spans="1:27" s="4" customFormat="1">
      <c r="A16" s="29">
        <v>20150611</v>
      </c>
      <c r="B16" s="8" t="s">
        <v>229</v>
      </c>
      <c r="C16" s="26">
        <v>25</v>
      </c>
      <c r="D16" s="26">
        <v>0.03</v>
      </c>
      <c r="E16" s="30"/>
      <c r="F16" s="54" t="s">
        <v>205</v>
      </c>
      <c r="G16" s="26"/>
      <c r="H16" s="26"/>
      <c r="I16" s="67">
        <v>4</v>
      </c>
      <c r="J16" s="26">
        <v>50</v>
      </c>
      <c r="K16" s="26">
        <v>100</v>
      </c>
      <c r="L16" s="26">
        <v>2</v>
      </c>
      <c r="M16" s="26">
        <v>0</v>
      </c>
      <c r="N16" s="155">
        <f t="shared" si="0"/>
        <v>0</v>
      </c>
      <c r="O16" s="52">
        <f t="shared" si="1"/>
        <v>0</v>
      </c>
      <c r="P16" s="55">
        <f t="shared" si="2"/>
        <v>0.56338028169014087</v>
      </c>
      <c r="Q16" s="70">
        <f>O16/P16/1000</f>
        <v>0</v>
      </c>
      <c r="R16" s="26">
        <v>1.85</v>
      </c>
      <c r="S16" s="162">
        <f t="shared" si="3"/>
        <v>0</v>
      </c>
      <c r="T16" s="56" t="s">
        <v>16</v>
      </c>
      <c r="U16" s="41">
        <v>468</v>
      </c>
      <c r="V16" s="41">
        <f t="shared" ref="V16:V69" si="8">U16*100/1000</f>
        <v>46.8</v>
      </c>
      <c r="W16" s="41">
        <f t="shared" si="4"/>
        <v>2340</v>
      </c>
      <c r="X16" s="41">
        <f t="shared" si="5"/>
        <v>2.1367521367521367</v>
      </c>
      <c r="Y16" s="41">
        <v>2</v>
      </c>
      <c r="Z16" s="57">
        <f t="shared" si="6"/>
        <v>93.6</v>
      </c>
      <c r="AA16" s="104">
        <f t="shared" si="7"/>
        <v>16</v>
      </c>
    </row>
    <row r="17" spans="1:27" s="4" customFormat="1">
      <c r="A17" s="29">
        <v>20150611</v>
      </c>
      <c r="B17" s="26" t="s">
        <v>230</v>
      </c>
      <c r="C17" s="26">
        <v>75</v>
      </c>
      <c r="D17" s="26">
        <v>3</v>
      </c>
      <c r="E17" s="30"/>
      <c r="F17" s="54" t="s">
        <v>205</v>
      </c>
      <c r="G17" s="26"/>
      <c r="H17" s="26"/>
      <c r="I17" s="67">
        <v>5</v>
      </c>
      <c r="J17" s="26">
        <v>50</v>
      </c>
      <c r="K17" s="26">
        <v>100</v>
      </c>
      <c r="L17" s="26">
        <v>2</v>
      </c>
      <c r="M17" s="26">
        <v>178</v>
      </c>
      <c r="N17" s="155">
        <f t="shared" si="0"/>
        <v>8.9</v>
      </c>
      <c r="O17" s="52">
        <f t="shared" si="1"/>
        <v>445</v>
      </c>
      <c r="P17" s="55">
        <f t="shared" si="2"/>
        <v>0.56338028169014087</v>
      </c>
      <c r="Q17" s="70">
        <f t="shared" ref="Q17:Q73" si="9">O17/P17/1000</f>
        <v>0.78987499999999999</v>
      </c>
      <c r="R17" s="26">
        <v>4.5</v>
      </c>
      <c r="S17" s="162">
        <f t="shared" si="3"/>
        <v>0.17552777777777778</v>
      </c>
      <c r="T17" s="56" t="s">
        <v>18</v>
      </c>
      <c r="U17" s="41">
        <v>302</v>
      </c>
      <c r="V17" s="41">
        <f t="shared" si="8"/>
        <v>30.2</v>
      </c>
      <c r="W17" s="41">
        <f t="shared" si="4"/>
        <v>1510</v>
      </c>
      <c r="X17" s="41">
        <f t="shared" si="5"/>
        <v>3.3112582781456954</v>
      </c>
      <c r="Y17" s="41">
        <v>3</v>
      </c>
      <c r="Z17" s="57">
        <f t="shared" si="6"/>
        <v>90.6</v>
      </c>
      <c r="AA17" s="104">
        <f t="shared" si="7"/>
        <v>15</v>
      </c>
    </row>
    <row r="18" spans="1:27" s="4" customFormat="1">
      <c r="A18" s="29">
        <v>20150611</v>
      </c>
      <c r="B18" s="26" t="s">
        <v>230</v>
      </c>
      <c r="C18" s="26">
        <v>75</v>
      </c>
      <c r="D18" s="26">
        <v>0.6</v>
      </c>
      <c r="E18" s="30"/>
      <c r="F18" s="54" t="s">
        <v>205</v>
      </c>
      <c r="G18" s="26"/>
      <c r="H18" s="26"/>
      <c r="I18" s="67">
        <v>6</v>
      </c>
      <c r="J18" s="26">
        <v>50</v>
      </c>
      <c r="K18" s="26">
        <v>100</v>
      </c>
      <c r="L18" s="26">
        <v>2</v>
      </c>
      <c r="M18" s="26">
        <v>222</v>
      </c>
      <c r="N18" s="155">
        <f t="shared" si="0"/>
        <v>11.1</v>
      </c>
      <c r="O18" s="52">
        <f t="shared" si="1"/>
        <v>555</v>
      </c>
      <c r="P18" s="55">
        <f t="shared" si="2"/>
        <v>0.56338028169014087</v>
      </c>
      <c r="Q18" s="70">
        <f t="shared" si="9"/>
        <v>0.98512500000000003</v>
      </c>
      <c r="R18" s="26">
        <v>2.2000000000000002</v>
      </c>
      <c r="S18" s="162">
        <f t="shared" si="3"/>
        <v>0.44778409090909088</v>
      </c>
      <c r="T18" s="56" t="s">
        <v>11</v>
      </c>
      <c r="U18" s="41">
        <v>330</v>
      </c>
      <c r="V18" s="41">
        <f t="shared" si="8"/>
        <v>33</v>
      </c>
      <c r="W18" s="41">
        <f t="shared" si="4"/>
        <v>1650</v>
      </c>
      <c r="X18" s="41">
        <f t="shared" si="5"/>
        <v>3.0303030303030303</v>
      </c>
      <c r="Y18" s="41">
        <v>3</v>
      </c>
      <c r="Z18" s="57">
        <f t="shared" si="6"/>
        <v>99</v>
      </c>
      <c r="AA18" s="104">
        <f t="shared" si="7"/>
        <v>15</v>
      </c>
    </row>
    <row r="19" spans="1:27" s="4" customFormat="1">
      <c r="A19" s="29">
        <v>20150611</v>
      </c>
      <c r="B19" s="26" t="s">
        <v>230</v>
      </c>
      <c r="C19" s="26">
        <v>75</v>
      </c>
      <c r="D19" s="26">
        <v>0.2</v>
      </c>
      <c r="E19" s="30"/>
      <c r="F19" s="54" t="s">
        <v>205</v>
      </c>
      <c r="G19" s="26"/>
      <c r="H19" s="26"/>
      <c r="I19" s="67">
        <v>7</v>
      </c>
      <c r="J19" s="26">
        <v>50</v>
      </c>
      <c r="K19" s="26">
        <v>100</v>
      </c>
      <c r="L19" s="26">
        <v>2</v>
      </c>
      <c r="M19" s="26">
        <v>550</v>
      </c>
      <c r="N19" s="155">
        <f t="shared" si="0"/>
        <v>27.5</v>
      </c>
      <c r="O19" s="52">
        <f t="shared" si="1"/>
        <v>1375</v>
      </c>
      <c r="P19" s="55">
        <f t="shared" si="2"/>
        <v>0.56338028169014087</v>
      </c>
      <c r="Q19" s="70">
        <f t="shared" si="9"/>
        <v>2.4406249999999998</v>
      </c>
      <c r="R19" s="26">
        <v>2.2000000000000002</v>
      </c>
      <c r="S19" s="162">
        <f t="shared" si="3"/>
        <v>1.1093749999999998</v>
      </c>
      <c r="T19" s="56" t="s">
        <v>15</v>
      </c>
      <c r="U19" s="41">
        <v>392</v>
      </c>
      <c r="V19" s="41">
        <f t="shared" si="8"/>
        <v>39.200000000000003</v>
      </c>
      <c r="W19" s="41">
        <f t="shared" si="4"/>
        <v>1960.0000000000002</v>
      </c>
      <c r="X19" s="41">
        <f t="shared" si="5"/>
        <v>2.5510204081632653</v>
      </c>
      <c r="Y19" s="41">
        <v>3</v>
      </c>
      <c r="Z19" s="57">
        <f t="shared" si="6"/>
        <v>117.60000000000001</v>
      </c>
      <c r="AA19" s="104">
        <f t="shared" si="7"/>
        <v>15</v>
      </c>
    </row>
    <row r="20" spans="1:27" s="4" customFormat="1">
      <c r="A20" s="29">
        <v>20150611</v>
      </c>
      <c r="B20" s="26" t="s">
        <v>230</v>
      </c>
      <c r="C20" s="26">
        <v>75</v>
      </c>
      <c r="D20" s="26">
        <v>0.03</v>
      </c>
      <c r="E20" s="30"/>
      <c r="F20" s="54" t="s">
        <v>205</v>
      </c>
      <c r="G20" s="26"/>
      <c r="H20" s="26"/>
      <c r="I20" s="67">
        <v>8</v>
      </c>
      <c r="J20" s="26">
        <v>50</v>
      </c>
      <c r="K20" s="26">
        <v>100</v>
      </c>
      <c r="L20" s="26">
        <v>2</v>
      </c>
      <c r="M20" s="26">
        <v>176</v>
      </c>
      <c r="N20" s="155">
        <f t="shared" si="0"/>
        <v>8.8000000000000007</v>
      </c>
      <c r="O20" s="52">
        <f t="shared" si="1"/>
        <v>440</v>
      </c>
      <c r="P20" s="55">
        <f t="shared" si="2"/>
        <v>0.56338028169014087</v>
      </c>
      <c r="Q20" s="70">
        <f t="shared" si="9"/>
        <v>0.78100000000000003</v>
      </c>
      <c r="R20" s="26">
        <v>2.2000000000000002</v>
      </c>
      <c r="S20" s="162">
        <f t="shared" si="3"/>
        <v>0.35499999999999998</v>
      </c>
      <c r="T20" s="56" t="s">
        <v>20</v>
      </c>
      <c r="U20" s="41">
        <v>359</v>
      </c>
      <c r="V20" s="41">
        <f t="shared" si="8"/>
        <v>35.9</v>
      </c>
      <c r="W20" s="41">
        <f t="shared" si="4"/>
        <v>1795</v>
      </c>
      <c r="X20" s="41">
        <f t="shared" si="5"/>
        <v>2.785515320334262</v>
      </c>
      <c r="Y20" s="41">
        <v>3</v>
      </c>
      <c r="Z20" s="57">
        <f t="shared" si="6"/>
        <v>107.69999999999999</v>
      </c>
      <c r="AA20" s="104">
        <f t="shared" si="7"/>
        <v>15</v>
      </c>
    </row>
    <row r="21" spans="1:27" s="4" customFormat="1" ht="16">
      <c r="A21" s="29">
        <v>20150611</v>
      </c>
      <c r="B21" s="26" t="s">
        <v>231</v>
      </c>
      <c r="C21" s="26">
        <v>125</v>
      </c>
      <c r="D21" s="26">
        <v>3</v>
      </c>
      <c r="E21" s="30"/>
      <c r="F21" s="54" t="s">
        <v>205</v>
      </c>
      <c r="G21" s="28" t="s">
        <v>205</v>
      </c>
      <c r="H21" s="179">
        <v>913808</v>
      </c>
      <c r="I21" s="67">
        <v>9</v>
      </c>
      <c r="J21" s="26">
        <v>50</v>
      </c>
      <c r="K21" s="26">
        <v>100</v>
      </c>
      <c r="L21" s="26">
        <v>2</v>
      </c>
      <c r="M21" s="26">
        <v>104</v>
      </c>
      <c r="N21" s="155">
        <f t="shared" si="0"/>
        <v>5.2</v>
      </c>
      <c r="O21" s="52">
        <f t="shared" si="1"/>
        <v>260</v>
      </c>
      <c r="P21" s="55">
        <f t="shared" si="2"/>
        <v>0.56338028169014087</v>
      </c>
      <c r="Q21" s="70">
        <f t="shared" si="9"/>
        <v>0.46150000000000002</v>
      </c>
      <c r="R21" s="26">
        <v>4.25</v>
      </c>
      <c r="S21" s="162">
        <f t="shared" si="3"/>
        <v>0.10858823529411765</v>
      </c>
      <c r="T21" s="56" t="s">
        <v>22</v>
      </c>
      <c r="U21" s="41">
        <v>289</v>
      </c>
      <c r="V21" s="41">
        <f t="shared" si="8"/>
        <v>28.9</v>
      </c>
      <c r="W21" s="41">
        <f t="shared" si="4"/>
        <v>1445</v>
      </c>
      <c r="X21" s="41">
        <f t="shared" si="5"/>
        <v>3.4602076124567476</v>
      </c>
      <c r="Y21" s="41">
        <v>3</v>
      </c>
      <c r="Z21" s="57">
        <f t="shared" si="6"/>
        <v>86.699999999999989</v>
      </c>
      <c r="AA21" s="104">
        <f t="shared" si="7"/>
        <v>15</v>
      </c>
    </row>
    <row r="22" spans="1:27" s="4" customFormat="1">
      <c r="A22" s="29">
        <v>20150611</v>
      </c>
      <c r="B22" s="26" t="s">
        <v>231</v>
      </c>
      <c r="C22" s="26">
        <v>125</v>
      </c>
      <c r="D22" s="26">
        <v>0.6</v>
      </c>
      <c r="E22" s="30"/>
      <c r="F22" s="54" t="s">
        <v>205</v>
      </c>
      <c r="G22" s="28" t="s">
        <v>205</v>
      </c>
      <c r="H22" s="180">
        <v>282290</v>
      </c>
      <c r="I22" s="67">
        <v>10</v>
      </c>
      <c r="J22" s="26">
        <v>50</v>
      </c>
      <c r="K22" s="26">
        <v>100</v>
      </c>
      <c r="L22" s="26">
        <v>2</v>
      </c>
      <c r="M22" s="26">
        <v>199</v>
      </c>
      <c r="N22" s="155">
        <f t="shared" si="0"/>
        <v>9.9499999999999993</v>
      </c>
      <c r="O22" s="52">
        <f t="shared" si="1"/>
        <v>497.5</v>
      </c>
      <c r="P22" s="55">
        <f t="shared" si="2"/>
        <v>0.56338028169014087</v>
      </c>
      <c r="Q22" s="70">
        <f t="shared" si="9"/>
        <v>0.88306249999999997</v>
      </c>
      <c r="R22" s="26">
        <v>2</v>
      </c>
      <c r="S22" s="162">
        <f t="shared" si="3"/>
        <v>0.44153124999999999</v>
      </c>
      <c r="T22" s="56" t="s">
        <v>14</v>
      </c>
      <c r="U22" s="41">
        <v>397</v>
      </c>
      <c r="V22" s="41">
        <f t="shared" si="8"/>
        <v>39.700000000000003</v>
      </c>
      <c r="W22" s="41">
        <f t="shared" si="4"/>
        <v>1985.0000000000002</v>
      </c>
      <c r="X22" s="41">
        <f t="shared" si="5"/>
        <v>2.5188916876574305</v>
      </c>
      <c r="Y22" s="41">
        <v>3</v>
      </c>
      <c r="Z22" s="57">
        <f t="shared" si="6"/>
        <v>119.10000000000001</v>
      </c>
      <c r="AA22" s="104">
        <f t="shared" si="7"/>
        <v>15</v>
      </c>
    </row>
    <row r="23" spans="1:27" s="4" customFormat="1">
      <c r="A23" s="29">
        <v>20150611</v>
      </c>
      <c r="B23" s="26" t="s">
        <v>231</v>
      </c>
      <c r="C23" s="26">
        <v>125</v>
      </c>
      <c r="D23" s="26">
        <v>0.2</v>
      </c>
      <c r="E23" s="30"/>
      <c r="F23" s="54" t="s">
        <v>205</v>
      </c>
      <c r="G23" s="28" t="s">
        <v>205</v>
      </c>
      <c r="H23" s="180">
        <v>828777</v>
      </c>
      <c r="I23" s="67">
        <v>11</v>
      </c>
      <c r="J23" s="26">
        <v>50</v>
      </c>
      <c r="K23" s="26">
        <v>100</v>
      </c>
      <c r="L23" s="26">
        <v>2</v>
      </c>
      <c r="M23" s="26">
        <v>353</v>
      </c>
      <c r="N23" s="155">
        <f t="shared" si="0"/>
        <v>17.649999999999999</v>
      </c>
      <c r="O23" s="52">
        <f t="shared" si="1"/>
        <v>882.5</v>
      </c>
      <c r="P23" s="55">
        <f t="shared" si="2"/>
        <v>0.56338028169014087</v>
      </c>
      <c r="Q23" s="70">
        <f t="shared" si="9"/>
        <v>1.5664374999999999</v>
      </c>
      <c r="R23" s="26">
        <v>1.95</v>
      </c>
      <c r="S23" s="162">
        <f t="shared" si="3"/>
        <v>0.80330128205128204</v>
      </c>
      <c r="T23" s="56" t="s">
        <v>17</v>
      </c>
      <c r="U23" s="41">
        <v>300</v>
      </c>
      <c r="V23" s="41">
        <f t="shared" si="8"/>
        <v>30</v>
      </c>
      <c r="W23" s="41">
        <f t="shared" si="4"/>
        <v>1500</v>
      </c>
      <c r="X23" s="41">
        <f t="shared" si="5"/>
        <v>3.3333333333333335</v>
      </c>
      <c r="Y23" s="41">
        <v>3</v>
      </c>
      <c r="Z23" s="57">
        <f t="shared" si="6"/>
        <v>90</v>
      </c>
      <c r="AA23" s="104">
        <f t="shared" si="7"/>
        <v>15</v>
      </c>
    </row>
    <row r="24" spans="1:27" s="4" customFormat="1">
      <c r="A24" s="29">
        <v>20150611</v>
      </c>
      <c r="B24" s="26" t="s">
        <v>231</v>
      </c>
      <c r="C24" s="26">
        <v>125</v>
      </c>
      <c r="D24" s="26">
        <v>0.03</v>
      </c>
      <c r="E24" s="30"/>
      <c r="F24" s="54" t="s">
        <v>205</v>
      </c>
      <c r="G24" s="28" t="s">
        <v>205</v>
      </c>
      <c r="H24" s="180">
        <v>818156</v>
      </c>
      <c r="I24" s="67">
        <v>12</v>
      </c>
      <c r="J24" s="26">
        <v>50</v>
      </c>
      <c r="K24" s="26">
        <v>100</v>
      </c>
      <c r="L24" s="26">
        <v>2</v>
      </c>
      <c r="M24" s="26">
        <v>79.5</v>
      </c>
      <c r="N24" s="155">
        <f t="shared" si="0"/>
        <v>3.9750000000000001</v>
      </c>
      <c r="O24" s="52">
        <f t="shared" si="1"/>
        <v>198.75</v>
      </c>
      <c r="P24" s="55">
        <f t="shared" si="2"/>
        <v>0.56338028169014087</v>
      </c>
      <c r="Q24" s="70">
        <f t="shared" si="9"/>
        <v>0.35278124999999999</v>
      </c>
      <c r="R24" s="26">
        <v>1.95</v>
      </c>
      <c r="S24" s="162">
        <f t="shared" si="3"/>
        <v>0.18091346153846155</v>
      </c>
      <c r="T24" s="56" t="s">
        <v>21</v>
      </c>
      <c r="U24" s="41">
        <v>350</v>
      </c>
      <c r="V24" s="41">
        <f t="shared" si="8"/>
        <v>35</v>
      </c>
      <c r="W24" s="41">
        <f t="shared" si="4"/>
        <v>1750</v>
      </c>
      <c r="X24" s="41">
        <f t="shared" si="5"/>
        <v>2.8571428571428572</v>
      </c>
      <c r="Y24" s="41">
        <v>3</v>
      </c>
      <c r="Z24" s="57">
        <f t="shared" si="6"/>
        <v>105</v>
      </c>
      <c r="AA24" s="104">
        <f t="shared" si="7"/>
        <v>15</v>
      </c>
    </row>
    <row r="25" spans="1:27" s="4" customFormat="1">
      <c r="A25" s="29">
        <v>20150612</v>
      </c>
      <c r="B25" s="26" t="s">
        <v>49</v>
      </c>
      <c r="C25" s="26">
        <v>25</v>
      </c>
      <c r="D25" s="26">
        <v>3</v>
      </c>
      <c r="E25" s="30"/>
      <c r="F25" s="54" t="s">
        <v>205</v>
      </c>
      <c r="G25" s="54" t="s">
        <v>205</v>
      </c>
      <c r="H25" s="54"/>
      <c r="I25" s="67">
        <v>13</v>
      </c>
      <c r="J25" s="26">
        <v>50</v>
      </c>
      <c r="K25" s="26">
        <v>100</v>
      </c>
      <c r="L25" s="26">
        <v>2</v>
      </c>
      <c r="M25" s="26">
        <v>265</v>
      </c>
      <c r="N25" s="155">
        <f t="shared" si="0"/>
        <v>13.25</v>
      </c>
      <c r="O25" s="52">
        <f t="shared" si="1"/>
        <v>662.5</v>
      </c>
      <c r="P25" s="55">
        <f t="shared" si="2"/>
        <v>0.56338028169014087</v>
      </c>
      <c r="Q25" s="70">
        <f t="shared" si="9"/>
        <v>1.1759375000000001</v>
      </c>
      <c r="R25" s="26">
        <f>3.3+0.66+0.95</f>
        <v>4.91</v>
      </c>
      <c r="S25" s="162">
        <f t="shared" si="3"/>
        <v>0.23949847250509165</v>
      </c>
      <c r="T25" s="56" t="s">
        <v>142</v>
      </c>
      <c r="U25" s="41">
        <v>199</v>
      </c>
      <c r="V25" s="41">
        <f t="shared" si="8"/>
        <v>19.899999999999999</v>
      </c>
      <c r="W25" s="41">
        <f t="shared" si="4"/>
        <v>994.99999999999989</v>
      </c>
      <c r="X25" s="41">
        <f t="shared" si="5"/>
        <v>5.025125628140704</v>
      </c>
      <c r="Y25" s="41">
        <v>5</v>
      </c>
      <c r="Z25" s="57">
        <f t="shared" si="6"/>
        <v>99.5</v>
      </c>
      <c r="AA25" s="104">
        <f t="shared" si="7"/>
        <v>13</v>
      </c>
    </row>
    <row r="26" spans="1:27" s="4" customFormat="1">
      <c r="A26" s="29">
        <v>20150612</v>
      </c>
      <c r="B26" s="26" t="s">
        <v>49</v>
      </c>
      <c r="C26" s="26">
        <v>25</v>
      </c>
      <c r="D26" s="26">
        <v>0.6</v>
      </c>
      <c r="E26" s="30"/>
      <c r="F26" s="54" t="s">
        <v>205</v>
      </c>
      <c r="G26" s="27" t="s">
        <v>205</v>
      </c>
      <c r="H26" s="181">
        <v>829495</v>
      </c>
      <c r="I26" s="67">
        <v>14</v>
      </c>
      <c r="J26" s="26">
        <v>50</v>
      </c>
      <c r="K26" s="26">
        <v>100</v>
      </c>
      <c r="L26" s="26">
        <v>2</v>
      </c>
      <c r="M26" s="26">
        <v>279</v>
      </c>
      <c r="N26" s="155">
        <f t="shared" si="0"/>
        <v>13.95</v>
      </c>
      <c r="O26" s="52">
        <f t="shared" si="1"/>
        <v>697.5</v>
      </c>
      <c r="P26" s="55">
        <f t="shared" si="2"/>
        <v>0.56338028169014087</v>
      </c>
      <c r="Q26" s="70">
        <f t="shared" si="9"/>
        <v>1.2380625000000001</v>
      </c>
      <c r="R26" s="26">
        <f>3.3+0.66-0.85</f>
        <v>3.11</v>
      </c>
      <c r="S26" s="162">
        <f t="shared" si="3"/>
        <v>0.39809083601286177</v>
      </c>
      <c r="T26" s="56" t="s">
        <v>143</v>
      </c>
      <c r="U26" s="41">
        <v>395</v>
      </c>
      <c r="V26" s="41">
        <f t="shared" si="8"/>
        <v>39.5</v>
      </c>
      <c r="W26" s="41">
        <f t="shared" si="4"/>
        <v>1975</v>
      </c>
      <c r="X26" s="41">
        <f t="shared" si="5"/>
        <v>2.5316455696202533</v>
      </c>
      <c r="Y26" s="41">
        <v>3</v>
      </c>
      <c r="Z26" s="57">
        <f t="shared" si="6"/>
        <v>118.5</v>
      </c>
      <c r="AA26" s="104">
        <f t="shared" si="7"/>
        <v>15</v>
      </c>
    </row>
    <row r="27" spans="1:27" s="4" customFormat="1">
      <c r="A27" s="29">
        <v>20150612</v>
      </c>
      <c r="B27" s="26" t="s">
        <v>49</v>
      </c>
      <c r="C27" s="26">
        <v>25</v>
      </c>
      <c r="D27" s="26">
        <v>0.2</v>
      </c>
      <c r="E27" s="30"/>
      <c r="F27" s="54" t="s">
        <v>205</v>
      </c>
      <c r="G27" s="28" t="s">
        <v>205</v>
      </c>
      <c r="H27" s="180">
        <v>294475</v>
      </c>
      <c r="I27" s="67">
        <v>15</v>
      </c>
      <c r="J27" s="26">
        <v>50</v>
      </c>
      <c r="K27" s="26">
        <v>100</v>
      </c>
      <c r="L27" s="26">
        <v>2</v>
      </c>
      <c r="M27" s="26">
        <f>198*4</f>
        <v>792</v>
      </c>
      <c r="N27" s="155">
        <f t="shared" si="0"/>
        <v>39.6</v>
      </c>
      <c r="O27" s="52">
        <f t="shared" si="1"/>
        <v>1980</v>
      </c>
      <c r="P27" s="55">
        <f t="shared" si="2"/>
        <v>0.56338028169014087</v>
      </c>
      <c r="Q27" s="70">
        <f t="shared" si="9"/>
        <v>3.5145</v>
      </c>
      <c r="R27" s="26">
        <v>3.3</v>
      </c>
      <c r="S27" s="162">
        <f t="shared" si="3"/>
        <v>1.0649999999999999</v>
      </c>
      <c r="T27" s="56" t="s">
        <v>144</v>
      </c>
      <c r="U27" s="41">
        <v>383</v>
      </c>
      <c r="V27" s="41">
        <f t="shared" si="8"/>
        <v>38.299999999999997</v>
      </c>
      <c r="W27" s="41">
        <f t="shared" si="4"/>
        <v>1914.9999999999998</v>
      </c>
      <c r="X27" s="41">
        <f t="shared" si="5"/>
        <v>2.6109660574412534</v>
      </c>
      <c r="Y27" s="41">
        <v>3</v>
      </c>
      <c r="Z27" s="57">
        <f t="shared" si="6"/>
        <v>114.89999999999999</v>
      </c>
      <c r="AA27" s="104">
        <f t="shared" si="7"/>
        <v>15</v>
      </c>
    </row>
    <row r="28" spans="1:27" s="4" customFormat="1">
      <c r="A28" s="29">
        <v>20150612</v>
      </c>
      <c r="B28" s="26" t="s">
        <v>49</v>
      </c>
      <c r="C28" s="26">
        <v>25</v>
      </c>
      <c r="D28" s="26">
        <v>0.03</v>
      </c>
      <c r="E28" s="30"/>
      <c r="F28" s="54" t="s">
        <v>205</v>
      </c>
      <c r="G28" s="54" t="s">
        <v>205</v>
      </c>
      <c r="H28" s="54"/>
      <c r="I28" s="67">
        <v>16</v>
      </c>
      <c r="J28" s="26">
        <v>50</v>
      </c>
      <c r="K28" s="26">
        <v>100</v>
      </c>
      <c r="L28" s="26">
        <v>2</v>
      </c>
      <c r="M28" s="26">
        <v>179</v>
      </c>
      <c r="N28" s="155">
        <f t="shared" si="0"/>
        <v>8.9499999999999993</v>
      </c>
      <c r="O28" s="52">
        <f t="shared" si="1"/>
        <v>447.5</v>
      </c>
      <c r="P28" s="55">
        <f t="shared" si="2"/>
        <v>0.56338028169014087</v>
      </c>
      <c r="Q28" s="70">
        <f t="shared" si="9"/>
        <v>0.79431249999999998</v>
      </c>
      <c r="R28" s="26">
        <v>3.3</v>
      </c>
      <c r="S28" s="162">
        <f t="shared" si="3"/>
        <v>0.24070075757575757</v>
      </c>
      <c r="T28" s="56" t="s">
        <v>145</v>
      </c>
      <c r="U28" s="41">
        <v>407</v>
      </c>
      <c r="V28" s="41">
        <f t="shared" si="8"/>
        <v>40.700000000000003</v>
      </c>
      <c r="W28" s="41">
        <f t="shared" si="4"/>
        <v>2035.0000000000002</v>
      </c>
      <c r="X28" s="41">
        <f t="shared" si="5"/>
        <v>2.4570024570024569</v>
      </c>
      <c r="Y28" s="41">
        <v>2</v>
      </c>
      <c r="Z28" s="57">
        <f t="shared" si="6"/>
        <v>81.400000000000006</v>
      </c>
      <c r="AA28" s="104">
        <f t="shared" si="7"/>
        <v>16</v>
      </c>
    </row>
    <row r="29" spans="1:27" s="4" customFormat="1">
      <c r="A29" s="29">
        <v>20150612</v>
      </c>
      <c r="B29" s="26" t="s">
        <v>50</v>
      </c>
      <c r="C29" s="26">
        <v>300</v>
      </c>
      <c r="D29" s="26">
        <v>3</v>
      </c>
      <c r="E29" s="30"/>
      <c r="F29" s="54" t="s">
        <v>205</v>
      </c>
      <c r="G29" s="28" t="s">
        <v>205</v>
      </c>
      <c r="H29" s="183">
        <v>890043</v>
      </c>
      <c r="I29" s="67">
        <v>17</v>
      </c>
      <c r="J29" s="26">
        <v>50</v>
      </c>
      <c r="K29" s="26">
        <v>100</v>
      </c>
      <c r="L29" s="26">
        <v>2</v>
      </c>
      <c r="M29" s="26">
        <v>65.599999999999994</v>
      </c>
      <c r="N29" s="155">
        <f t="shared" si="0"/>
        <v>3.2799999999999994</v>
      </c>
      <c r="O29" s="52">
        <f t="shared" si="1"/>
        <v>164</v>
      </c>
      <c r="P29" s="55">
        <f t="shared" si="2"/>
        <v>0.56338028169014087</v>
      </c>
      <c r="Q29" s="70">
        <f t="shared" si="9"/>
        <v>0.29109999999999997</v>
      </c>
      <c r="R29" s="26">
        <f>3.55+1.16+1.47</f>
        <v>6.18</v>
      </c>
      <c r="S29" s="162">
        <f t="shared" si="3"/>
        <v>4.7103559870550156E-2</v>
      </c>
      <c r="T29" s="56" t="s">
        <v>146</v>
      </c>
      <c r="U29" s="41">
        <v>315</v>
      </c>
      <c r="V29" s="41">
        <f t="shared" si="8"/>
        <v>31.5</v>
      </c>
      <c r="W29" s="41">
        <f t="shared" si="4"/>
        <v>1575</v>
      </c>
      <c r="X29" s="41">
        <f t="shared" si="5"/>
        <v>3.1746031746031744</v>
      </c>
      <c r="Y29" s="41">
        <v>3</v>
      </c>
      <c r="Z29" s="57">
        <f t="shared" si="6"/>
        <v>94.5</v>
      </c>
      <c r="AA29" s="104">
        <f t="shared" si="7"/>
        <v>15</v>
      </c>
    </row>
    <row r="30" spans="1:27" s="4" customFormat="1">
      <c r="A30" s="29">
        <v>20150612</v>
      </c>
      <c r="B30" s="26" t="s">
        <v>50</v>
      </c>
      <c r="C30" s="26">
        <v>300</v>
      </c>
      <c r="D30" s="26">
        <v>0.6</v>
      </c>
      <c r="E30" s="30"/>
      <c r="F30" s="54" t="s">
        <v>205</v>
      </c>
      <c r="G30" s="28" t="s">
        <v>205</v>
      </c>
      <c r="H30" s="182" t="s">
        <v>239</v>
      </c>
      <c r="I30" s="67">
        <v>18</v>
      </c>
      <c r="J30" s="26">
        <v>50</v>
      </c>
      <c r="K30" s="26">
        <v>100</v>
      </c>
      <c r="L30" s="26">
        <v>2</v>
      </c>
      <c r="M30" s="26">
        <v>66.7</v>
      </c>
      <c r="N30" s="155">
        <f t="shared" si="0"/>
        <v>3.335</v>
      </c>
      <c r="O30" s="52">
        <f t="shared" si="1"/>
        <v>166.75</v>
      </c>
      <c r="P30" s="55">
        <f t="shared" si="2"/>
        <v>0.56338028169014087</v>
      </c>
      <c r="Q30" s="70">
        <f>O30/P30/1000</f>
        <v>0.29598124999999997</v>
      </c>
      <c r="R30" s="26">
        <f>3.55+1.16-1.3</f>
        <v>3.41</v>
      </c>
      <c r="S30" s="162">
        <f t="shared" si="3"/>
        <v>8.6798020527859232E-2</v>
      </c>
      <c r="T30" s="56" t="s">
        <v>147</v>
      </c>
      <c r="U30" s="41">
        <v>374</v>
      </c>
      <c r="V30" s="41">
        <f t="shared" si="8"/>
        <v>37.4</v>
      </c>
      <c r="W30" s="41">
        <f t="shared" si="4"/>
        <v>1870</v>
      </c>
      <c r="X30" s="41">
        <f t="shared" si="5"/>
        <v>2.6737967914438503</v>
      </c>
      <c r="Y30" s="41">
        <v>3</v>
      </c>
      <c r="Z30" s="57">
        <f t="shared" si="6"/>
        <v>112.19999999999999</v>
      </c>
      <c r="AA30" s="104">
        <f t="shared" si="7"/>
        <v>15</v>
      </c>
    </row>
    <row r="31" spans="1:27" s="4" customFormat="1">
      <c r="A31" s="29">
        <v>20150612</v>
      </c>
      <c r="B31" s="26" t="s">
        <v>50</v>
      </c>
      <c r="C31" s="26">
        <v>300</v>
      </c>
      <c r="D31" s="26">
        <v>0.2</v>
      </c>
      <c r="E31" s="30"/>
      <c r="F31" s="54" t="s">
        <v>205</v>
      </c>
      <c r="G31" s="28" t="s">
        <v>205</v>
      </c>
      <c r="H31" s="182" t="s">
        <v>240</v>
      </c>
      <c r="I31" s="67">
        <v>19</v>
      </c>
      <c r="J31" s="26">
        <v>50</v>
      </c>
      <c r="K31" s="26">
        <v>100</v>
      </c>
      <c r="L31" s="26">
        <v>2</v>
      </c>
      <c r="M31" s="26">
        <v>158</v>
      </c>
      <c r="N31" s="155">
        <f t="shared" si="0"/>
        <v>7.9</v>
      </c>
      <c r="O31" s="52">
        <f t="shared" si="1"/>
        <v>395</v>
      </c>
      <c r="P31" s="55">
        <f t="shared" si="2"/>
        <v>0.56338028169014087</v>
      </c>
      <c r="Q31" s="70">
        <f t="shared" si="9"/>
        <v>0.701125</v>
      </c>
      <c r="R31" s="26">
        <v>3.55</v>
      </c>
      <c r="S31" s="162">
        <f t="shared" si="3"/>
        <v>0.19750000000000001</v>
      </c>
      <c r="T31" s="56" t="s">
        <v>148</v>
      </c>
      <c r="U31" s="41">
        <v>291</v>
      </c>
      <c r="V31" s="41">
        <f t="shared" si="8"/>
        <v>29.1</v>
      </c>
      <c r="W31" s="41">
        <f t="shared" si="4"/>
        <v>1455</v>
      </c>
      <c r="X31" s="41">
        <f t="shared" si="5"/>
        <v>3.4364261168384878</v>
      </c>
      <c r="Y31" s="41">
        <v>3</v>
      </c>
      <c r="Z31" s="57">
        <f t="shared" si="6"/>
        <v>87.300000000000011</v>
      </c>
      <c r="AA31" s="104">
        <f t="shared" si="7"/>
        <v>15</v>
      </c>
    </row>
    <row r="32" spans="1:27" s="4" customFormat="1">
      <c r="A32" s="29">
        <v>20150612</v>
      </c>
      <c r="B32" s="26" t="s">
        <v>50</v>
      </c>
      <c r="C32" s="26">
        <v>300</v>
      </c>
      <c r="D32" s="26">
        <v>0.03</v>
      </c>
      <c r="E32" s="30"/>
      <c r="F32" s="54" t="s">
        <v>205</v>
      </c>
      <c r="G32" s="28" t="s">
        <v>205</v>
      </c>
      <c r="H32" s="182" t="s">
        <v>241</v>
      </c>
      <c r="I32" s="67">
        <v>20</v>
      </c>
      <c r="J32" s="26">
        <v>50</v>
      </c>
      <c r="K32" s="26">
        <v>100</v>
      </c>
      <c r="L32" s="26">
        <v>2</v>
      </c>
      <c r="M32" s="26">
        <v>35.1</v>
      </c>
      <c r="N32" s="155">
        <f t="shared" si="0"/>
        <v>1.7549999999999999</v>
      </c>
      <c r="O32" s="52">
        <f t="shared" si="1"/>
        <v>87.75</v>
      </c>
      <c r="P32" s="55">
        <f t="shared" si="2"/>
        <v>0.56338028169014087</v>
      </c>
      <c r="Q32" s="70">
        <f t="shared" si="9"/>
        <v>0.15575624999999998</v>
      </c>
      <c r="R32" s="26">
        <v>3.55</v>
      </c>
      <c r="S32" s="162">
        <f t="shared" si="3"/>
        <v>4.3874999999999997E-2</v>
      </c>
      <c r="T32" s="56" t="s">
        <v>149</v>
      </c>
      <c r="U32" s="41">
        <v>337</v>
      </c>
      <c r="V32" s="41">
        <f t="shared" si="8"/>
        <v>33.700000000000003</v>
      </c>
      <c r="W32" s="41">
        <f t="shared" si="4"/>
        <v>1685.0000000000002</v>
      </c>
      <c r="X32" s="41">
        <f t="shared" si="5"/>
        <v>2.9673590504451037</v>
      </c>
      <c r="Y32" s="41">
        <v>3</v>
      </c>
      <c r="Z32" s="57">
        <f t="shared" si="6"/>
        <v>101.10000000000001</v>
      </c>
      <c r="AA32" s="104">
        <f t="shared" si="7"/>
        <v>15</v>
      </c>
    </row>
    <row r="33" spans="1:27" s="4" customFormat="1">
      <c r="A33" s="29">
        <v>20150612</v>
      </c>
      <c r="B33" s="26" t="s">
        <v>51</v>
      </c>
      <c r="C33" s="26">
        <v>750</v>
      </c>
      <c r="D33" s="26">
        <v>3</v>
      </c>
      <c r="E33" s="30"/>
      <c r="F33" s="54" t="s">
        <v>205</v>
      </c>
      <c r="G33" s="28" t="s">
        <v>205</v>
      </c>
      <c r="H33" s="182" t="s">
        <v>242</v>
      </c>
      <c r="I33" s="67">
        <v>21</v>
      </c>
      <c r="J33" s="26">
        <v>50</v>
      </c>
      <c r="K33" s="26">
        <v>67</v>
      </c>
      <c r="L33" s="26">
        <v>2</v>
      </c>
      <c r="M33" s="26">
        <v>30.9</v>
      </c>
      <c r="N33" s="155">
        <f t="shared" si="0"/>
        <v>1.0351499999999998</v>
      </c>
      <c r="O33" s="52">
        <f t="shared" si="1"/>
        <v>51.757499999999993</v>
      </c>
      <c r="P33" s="55">
        <f t="shared" ref="P33:P73" si="10">800/1420</f>
        <v>0.56338028169014087</v>
      </c>
      <c r="Q33" s="70">
        <f t="shared" si="9"/>
        <v>9.1869562499999988E-2</v>
      </c>
      <c r="R33" s="26">
        <f>3.5+0.75+1.38</f>
        <v>5.63</v>
      </c>
      <c r="S33" s="162">
        <f t="shared" si="3"/>
        <v>1.6317861900532856E-2</v>
      </c>
      <c r="T33" s="56" t="s">
        <v>150</v>
      </c>
      <c r="U33" s="41">
        <v>279</v>
      </c>
      <c r="V33" s="41">
        <f t="shared" si="8"/>
        <v>27.9</v>
      </c>
      <c r="W33" s="41">
        <f t="shared" si="4"/>
        <v>1395</v>
      </c>
      <c r="X33" s="41">
        <f t="shared" si="5"/>
        <v>3.5842293906810037</v>
      </c>
      <c r="Y33" s="41">
        <v>4</v>
      </c>
      <c r="Z33" s="57">
        <f t="shared" si="6"/>
        <v>111.6</v>
      </c>
      <c r="AA33" s="104">
        <f t="shared" si="7"/>
        <v>14</v>
      </c>
    </row>
    <row r="34" spans="1:27" s="4" customFormat="1">
      <c r="A34" s="29">
        <v>20150612</v>
      </c>
      <c r="B34" s="26" t="s">
        <v>51</v>
      </c>
      <c r="C34" s="26">
        <v>750</v>
      </c>
      <c r="D34" s="26">
        <v>0.6</v>
      </c>
      <c r="E34" s="30"/>
      <c r="F34" s="54" t="s">
        <v>205</v>
      </c>
      <c r="G34" s="28" t="s">
        <v>205</v>
      </c>
      <c r="H34" s="182" t="s">
        <v>243</v>
      </c>
      <c r="I34" s="67">
        <v>22</v>
      </c>
      <c r="J34" s="26">
        <v>50</v>
      </c>
      <c r="K34" s="26">
        <v>67</v>
      </c>
      <c r="L34" s="26">
        <v>2</v>
      </c>
      <c r="M34" s="26">
        <v>7.47</v>
      </c>
      <c r="N34" s="155">
        <f t="shared" si="0"/>
        <v>0.250245</v>
      </c>
      <c r="O34" s="52">
        <f t="shared" si="1"/>
        <v>12.512250000000002</v>
      </c>
      <c r="P34" s="55">
        <f t="shared" si="10"/>
        <v>0.56338028169014087</v>
      </c>
      <c r="Q34" s="70">
        <f t="shared" si="9"/>
        <v>2.2209243750000003E-2</v>
      </c>
      <c r="R34" s="26">
        <f>3.5+0.75-1.1</f>
        <v>3.15</v>
      </c>
      <c r="S34" s="162">
        <f t="shared" si="3"/>
        <v>7.0505535714285722E-3</v>
      </c>
      <c r="T34" s="56" t="s">
        <v>151</v>
      </c>
      <c r="U34" s="41">
        <v>352</v>
      </c>
      <c r="V34" s="41">
        <f t="shared" si="8"/>
        <v>35.200000000000003</v>
      </c>
      <c r="W34" s="41">
        <f t="shared" si="4"/>
        <v>1760.0000000000002</v>
      </c>
      <c r="X34" s="41">
        <f t="shared" si="5"/>
        <v>2.8409090909090908</v>
      </c>
      <c r="Y34" s="41">
        <v>3</v>
      </c>
      <c r="Z34" s="57">
        <f t="shared" si="6"/>
        <v>105.60000000000001</v>
      </c>
      <c r="AA34" s="104">
        <f t="shared" si="7"/>
        <v>15</v>
      </c>
    </row>
    <row r="35" spans="1:27" s="4" customFormat="1">
      <c r="A35" s="29">
        <v>20150612</v>
      </c>
      <c r="B35" s="26" t="s">
        <v>51</v>
      </c>
      <c r="C35" s="26">
        <v>750</v>
      </c>
      <c r="D35" s="26">
        <v>0.2</v>
      </c>
      <c r="E35" s="30"/>
      <c r="F35" s="54" t="s">
        <v>205</v>
      </c>
      <c r="G35" s="28" t="s">
        <v>205</v>
      </c>
      <c r="H35" s="182" t="s">
        <v>244</v>
      </c>
      <c r="I35" s="67">
        <v>23</v>
      </c>
      <c r="J35" s="26">
        <v>50</v>
      </c>
      <c r="K35" s="26">
        <v>67</v>
      </c>
      <c r="L35" s="26">
        <v>2</v>
      </c>
      <c r="M35" s="26">
        <v>22.3</v>
      </c>
      <c r="N35" s="155">
        <f t="shared" si="0"/>
        <v>0.7470500000000001</v>
      </c>
      <c r="O35" s="52">
        <f t="shared" si="1"/>
        <v>37.352500000000006</v>
      </c>
      <c r="P35" s="55">
        <f t="shared" si="10"/>
        <v>0.56338028169014087</v>
      </c>
      <c r="Q35" s="70">
        <f t="shared" si="9"/>
        <v>6.6300687500000011E-2</v>
      </c>
      <c r="R35" s="26">
        <v>3.5</v>
      </c>
      <c r="S35" s="162">
        <f t="shared" si="3"/>
        <v>1.8943053571428576E-2</v>
      </c>
      <c r="T35" s="56" t="s">
        <v>152</v>
      </c>
      <c r="U35" s="41">
        <v>414</v>
      </c>
      <c r="V35" s="41">
        <f t="shared" si="8"/>
        <v>41.4</v>
      </c>
      <c r="W35" s="41">
        <f t="shared" si="4"/>
        <v>2070</v>
      </c>
      <c r="X35" s="41">
        <f t="shared" si="5"/>
        <v>2.4154589371980677</v>
      </c>
      <c r="Y35" s="41">
        <v>2</v>
      </c>
      <c r="Z35" s="57">
        <f t="shared" si="6"/>
        <v>82.8</v>
      </c>
      <c r="AA35" s="104">
        <f t="shared" si="7"/>
        <v>16</v>
      </c>
    </row>
    <row r="36" spans="1:27" s="4" customFormat="1">
      <c r="A36" s="29">
        <v>20150612</v>
      </c>
      <c r="B36" s="26" t="s">
        <v>51</v>
      </c>
      <c r="C36" s="26">
        <v>750</v>
      </c>
      <c r="D36" s="26">
        <v>0.03</v>
      </c>
      <c r="E36" s="30"/>
      <c r="F36" s="54" t="s">
        <v>205</v>
      </c>
      <c r="G36" s="28" t="s">
        <v>205</v>
      </c>
      <c r="H36" s="182" t="s">
        <v>245</v>
      </c>
      <c r="I36" s="67">
        <v>24</v>
      </c>
      <c r="J36" s="26">
        <v>50</v>
      </c>
      <c r="K36" s="26">
        <v>67</v>
      </c>
      <c r="L36" s="26">
        <v>2</v>
      </c>
      <c r="M36" s="26">
        <v>11.7</v>
      </c>
      <c r="N36" s="155">
        <f t="shared" si="0"/>
        <v>0.39194999999999997</v>
      </c>
      <c r="O36" s="52">
        <f t="shared" si="1"/>
        <v>19.5975</v>
      </c>
      <c r="P36" s="55">
        <f t="shared" si="10"/>
        <v>0.56338028169014087</v>
      </c>
      <c r="Q36" s="70">
        <f t="shared" si="9"/>
        <v>3.4785562499999999E-2</v>
      </c>
      <c r="R36" s="26">
        <v>3.5</v>
      </c>
      <c r="S36" s="162">
        <f t="shared" si="3"/>
        <v>9.9387321428571433E-3</v>
      </c>
      <c r="T36" s="56" t="s">
        <v>153</v>
      </c>
      <c r="U36" s="41">
        <v>268</v>
      </c>
      <c r="V36" s="41">
        <f t="shared" si="8"/>
        <v>26.8</v>
      </c>
      <c r="W36" s="41">
        <f t="shared" si="4"/>
        <v>1340</v>
      </c>
      <c r="X36" s="41">
        <f t="shared" si="5"/>
        <v>3.7313432835820897</v>
      </c>
      <c r="Y36" s="41">
        <v>4</v>
      </c>
      <c r="Z36" s="57">
        <f t="shared" si="6"/>
        <v>107.2</v>
      </c>
      <c r="AA36" s="104">
        <f t="shared" si="7"/>
        <v>14</v>
      </c>
    </row>
    <row r="37" spans="1:27" s="85" customFormat="1">
      <c r="A37" s="74">
        <v>20150613</v>
      </c>
      <c r="B37" s="75" t="s">
        <v>196</v>
      </c>
      <c r="C37" s="75">
        <v>25</v>
      </c>
      <c r="D37" s="75">
        <v>3</v>
      </c>
      <c r="E37" s="76"/>
      <c r="F37" s="54" t="s">
        <v>205</v>
      </c>
      <c r="G37" s="75"/>
      <c r="H37" s="75"/>
      <c r="I37" s="77">
        <v>29</v>
      </c>
      <c r="J37" s="75">
        <v>50</v>
      </c>
      <c r="K37" s="75">
        <v>67</v>
      </c>
      <c r="L37" s="78">
        <v>2</v>
      </c>
      <c r="M37" s="75">
        <v>225</v>
      </c>
      <c r="N37" s="156">
        <f t="shared" si="0"/>
        <v>7.5374999999999996</v>
      </c>
      <c r="O37" s="79">
        <f t="shared" ref="O37:O42" si="11">N37*1000*0.05</f>
        <v>376.875</v>
      </c>
      <c r="P37" s="80">
        <f t="shared" si="10"/>
        <v>0.56338028169014087</v>
      </c>
      <c r="Q37" s="81">
        <f t="shared" si="9"/>
        <v>0.66895312500000004</v>
      </c>
      <c r="R37" s="75">
        <f>3.5+1.8</f>
        <v>5.3</v>
      </c>
      <c r="S37" s="163">
        <f t="shared" si="3"/>
        <v>0.12621757075471698</v>
      </c>
      <c r="T37" s="82" t="s">
        <v>163</v>
      </c>
      <c r="U37" s="83">
        <v>425</v>
      </c>
      <c r="V37" s="83">
        <f t="shared" si="8"/>
        <v>42.5</v>
      </c>
      <c r="W37" s="83">
        <f t="shared" si="4"/>
        <v>2125</v>
      </c>
      <c r="X37" s="83">
        <f t="shared" si="5"/>
        <v>2.3529411764705883</v>
      </c>
      <c r="Y37" s="83">
        <v>2</v>
      </c>
      <c r="Z37" s="84">
        <f t="shared" si="6"/>
        <v>85</v>
      </c>
      <c r="AA37" s="105">
        <f t="shared" si="7"/>
        <v>16</v>
      </c>
    </row>
    <row r="38" spans="1:27" s="85" customFormat="1">
      <c r="A38" s="74">
        <v>20150613</v>
      </c>
      <c r="B38" s="75" t="s">
        <v>196</v>
      </c>
      <c r="C38" s="86">
        <v>25</v>
      </c>
      <c r="D38" s="75">
        <v>0.6</v>
      </c>
      <c r="E38" s="76"/>
      <c r="F38" s="54" t="s">
        <v>205</v>
      </c>
      <c r="G38" s="86"/>
      <c r="H38" s="86"/>
      <c r="I38" s="77">
        <v>30</v>
      </c>
      <c r="J38" s="75">
        <v>50</v>
      </c>
      <c r="K38" s="75">
        <v>67</v>
      </c>
      <c r="L38" s="78">
        <v>2</v>
      </c>
      <c r="M38" s="75">
        <v>308</v>
      </c>
      <c r="N38" s="156">
        <f t="shared" si="0"/>
        <v>10.318</v>
      </c>
      <c r="O38" s="79">
        <f t="shared" si="11"/>
        <v>515.9</v>
      </c>
      <c r="P38" s="80">
        <f t="shared" si="10"/>
        <v>0.56338028169014087</v>
      </c>
      <c r="Q38" s="81">
        <f t="shared" si="9"/>
        <v>0.91572249999999999</v>
      </c>
      <c r="R38" s="75">
        <f>3.3+0.2</f>
        <v>3.5</v>
      </c>
      <c r="S38" s="163">
        <f t="shared" si="3"/>
        <v>0.26163500000000001</v>
      </c>
      <c r="T38" s="82" t="s">
        <v>164</v>
      </c>
      <c r="U38" s="83">
        <v>370</v>
      </c>
      <c r="V38" s="83">
        <f t="shared" si="8"/>
        <v>37</v>
      </c>
      <c r="W38" s="83">
        <f t="shared" si="4"/>
        <v>1850</v>
      </c>
      <c r="X38" s="83">
        <f t="shared" si="5"/>
        <v>2.7027027027027026</v>
      </c>
      <c r="Y38" s="83">
        <v>3</v>
      </c>
      <c r="Z38" s="84">
        <f t="shared" si="6"/>
        <v>111</v>
      </c>
      <c r="AA38" s="105">
        <f t="shared" si="7"/>
        <v>15</v>
      </c>
    </row>
    <row r="39" spans="1:27" s="85" customFormat="1">
      <c r="A39" s="74">
        <v>20150613</v>
      </c>
      <c r="B39" s="75" t="s">
        <v>196</v>
      </c>
      <c r="C39" s="75">
        <v>25</v>
      </c>
      <c r="D39" s="75">
        <v>0.2</v>
      </c>
      <c r="E39" s="76"/>
      <c r="F39" s="54" t="s">
        <v>205</v>
      </c>
      <c r="G39" s="75"/>
      <c r="H39" s="75"/>
      <c r="I39" s="77">
        <v>31</v>
      </c>
      <c r="J39" s="75">
        <v>50</v>
      </c>
      <c r="K39" s="75">
        <v>67</v>
      </c>
      <c r="L39" s="78">
        <v>2</v>
      </c>
      <c r="M39" s="75">
        <v>92.7</v>
      </c>
      <c r="N39" s="156">
        <f t="shared" si="0"/>
        <v>3.1054500000000003</v>
      </c>
      <c r="O39" s="79">
        <f t="shared" si="11"/>
        <v>155.27250000000004</v>
      </c>
      <c r="P39" s="80">
        <f t="shared" si="10"/>
        <v>0.56338028169014087</v>
      </c>
      <c r="Q39" s="81">
        <f t="shared" si="9"/>
        <v>0.2756086875</v>
      </c>
      <c r="R39" s="75">
        <v>3.3</v>
      </c>
      <c r="S39" s="163">
        <f t="shared" si="3"/>
        <v>8.3517784090909097E-2</v>
      </c>
      <c r="T39" s="82" t="s">
        <v>165</v>
      </c>
      <c r="U39" s="83">
        <v>435</v>
      </c>
      <c r="V39" s="83">
        <f t="shared" si="8"/>
        <v>43.5</v>
      </c>
      <c r="W39" s="83">
        <f t="shared" si="4"/>
        <v>2175</v>
      </c>
      <c r="X39" s="83">
        <f t="shared" si="5"/>
        <v>2.2988505747126435</v>
      </c>
      <c r="Y39" s="83">
        <v>2</v>
      </c>
      <c r="Z39" s="84">
        <f t="shared" si="6"/>
        <v>87</v>
      </c>
      <c r="AA39" s="105">
        <f t="shared" si="7"/>
        <v>16</v>
      </c>
    </row>
    <row r="40" spans="1:27" s="85" customFormat="1">
      <c r="A40" s="74">
        <v>20150613</v>
      </c>
      <c r="B40" s="75" t="s">
        <v>196</v>
      </c>
      <c r="C40" s="75">
        <v>25</v>
      </c>
      <c r="D40" s="75">
        <v>0.03</v>
      </c>
      <c r="E40" s="76"/>
      <c r="F40" s="54" t="s">
        <v>205</v>
      </c>
      <c r="G40" s="75"/>
      <c r="H40" s="75"/>
      <c r="I40" s="77">
        <v>32</v>
      </c>
      <c r="J40" s="75">
        <v>50</v>
      </c>
      <c r="K40" s="75">
        <v>67</v>
      </c>
      <c r="L40" s="78">
        <v>2</v>
      </c>
      <c r="M40" s="75">
        <v>283</v>
      </c>
      <c r="N40" s="156">
        <f t="shared" si="0"/>
        <v>9.4804999999999993</v>
      </c>
      <c r="O40" s="79">
        <f t="shared" si="11"/>
        <v>474.02500000000003</v>
      </c>
      <c r="P40" s="80">
        <f t="shared" si="10"/>
        <v>0.56338028169014087</v>
      </c>
      <c r="Q40" s="81">
        <f t="shared" si="9"/>
        <v>0.84139437499999992</v>
      </c>
      <c r="R40" s="75">
        <v>3.3</v>
      </c>
      <c r="S40" s="163">
        <f t="shared" si="3"/>
        <v>0.2549679924242424</v>
      </c>
      <c r="T40" s="82" t="s">
        <v>166</v>
      </c>
      <c r="U40" s="83">
        <v>459</v>
      </c>
      <c r="V40" s="83">
        <f t="shared" si="8"/>
        <v>45.9</v>
      </c>
      <c r="W40" s="83">
        <f t="shared" si="4"/>
        <v>2295</v>
      </c>
      <c r="X40" s="83">
        <f t="shared" si="5"/>
        <v>2.1786492374727668</v>
      </c>
      <c r="Y40" s="83">
        <v>2</v>
      </c>
      <c r="Z40" s="84">
        <f t="shared" si="6"/>
        <v>91.8</v>
      </c>
      <c r="AA40" s="105">
        <f t="shared" si="7"/>
        <v>16</v>
      </c>
    </row>
    <row r="41" spans="1:27" s="4" customFormat="1">
      <c r="A41" s="29">
        <v>20150613</v>
      </c>
      <c r="B41" s="26" t="s">
        <v>228</v>
      </c>
      <c r="C41" s="26">
        <v>175</v>
      </c>
      <c r="D41" s="26">
        <v>3</v>
      </c>
      <c r="E41" s="30"/>
      <c r="F41" s="54" t="s">
        <v>205</v>
      </c>
      <c r="G41" s="26"/>
      <c r="H41" s="26"/>
      <c r="I41" s="67">
        <v>33</v>
      </c>
      <c r="J41" s="26">
        <v>50</v>
      </c>
      <c r="K41" s="26">
        <v>67</v>
      </c>
      <c r="L41" s="58">
        <v>2</v>
      </c>
      <c r="M41" s="26">
        <v>188</v>
      </c>
      <c r="N41" s="155">
        <f t="shared" si="0"/>
        <v>6.298</v>
      </c>
      <c r="O41" s="52">
        <f t="shared" si="11"/>
        <v>314.90000000000003</v>
      </c>
      <c r="P41" s="55">
        <f t="shared" si="10"/>
        <v>0.56338028169014087</v>
      </c>
      <c r="Q41" s="70">
        <f t="shared" si="9"/>
        <v>0.55894750000000004</v>
      </c>
      <c r="R41" s="26">
        <f>3.95+2.9</f>
        <v>6.85</v>
      </c>
      <c r="S41" s="162">
        <f t="shared" si="3"/>
        <v>8.1598175182481761E-2</v>
      </c>
      <c r="T41" s="56" t="s">
        <v>167</v>
      </c>
      <c r="U41" s="41">
        <v>335</v>
      </c>
      <c r="V41" s="41">
        <f t="shared" si="8"/>
        <v>33.5</v>
      </c>
      <c r="W41" s="41">
        <f t="shared" si="4"/>
        <v>1675</v>
      </c>
      <c r="X41" s="41">
        <f t="shared" si="5"/>
        <v>2.9850746268656718</v>
      </c>
      <c r="Y41" s="41">
        <v>3</v>
      </c>
      <c r="Z41" s="57">
        <f t="shared" si="6"/>
        <v>100.5</v>
      </c>
      <c r="AA41" s="104">
        <f t="shared" si="7"/>
        <v>15</v>
      </c>
    </row>
    <row r="42" spans="1:27" s="4" customFormat="1">
      <c r="A42" s="29">
        <v>20150613</v>
      </c>
      <c r="B42" s="26" t="s">
        <v>228</v>
      </c>
      <c r="C42" s="26">
        <v>175</v>
      </c>
      <c r="D42" s="26">
        <v>0.6</v>
      </c>
      <c r="E42" s="30"/>
      <c r="F42" s="54" t="s">
        <v>205</v>
      </c>
      <c r="G42" s="26"/>
      <c r="H42" s="26"/>
      <c r="I42" s="67">
        <v>34</v>
      </c>
      <c r="J42" s="26">
        <v>50</v>
      </c>
      <c r="K42" s="26">
        <v>67</v>
      </c>
      <c r="L42" s="58">
        <v>2</v>
      </c>
      <c r="M42" s="26">
        <v>76</v>
      </c>
      <c r="N42" s="155">
        <f t="shared" si="0"/>
        <v>2.5459999999999998</v>
      </c>
      <c r="O42" s="52">
        <f t="shared" si="11"/>
        <v>127.30000000000001</v>
      </c>
      <c r="P42" s="55">
        <f t="shared" si="10"/>
        <v>0.56338028169014087</v>
      </c>
      <c r="Q42" s="70">
        <f t="shared" si="9"/>
        <v>0.22595750000000001</v>
      </c>
      <c r="R42" s="26">
        <f>3.2+0.75</f>
        <v>3.95</v>
      </c>
      <c r="S42" s="162">
        <f t="shared" si="3"/>
        <v>5.7204430379746832E-2</v>
      </c>
      <c r="T42" s="56" t="s">
        <v>168</v>
      </c>
      <c r="U42" s="41">
        <v>314</v>
      </c>
      <c r="V42" s="41">
        <f t="shared" si="8"/>
        <v>31.4</v>
      </c>
      <c r="W42" s="41">
        <f t="shared" si="4"/>
        <v>1570</v>
      </c>
      <c r="X42" s="41">
        <f t="shared" si="5"/>
        <v>3.1847133757961785</v>
      </c>
      <c r="Y42" s="41">
        <v>3</v>
      </c>
      <c r="Z42" s="57">
        <f t="shared" si="6"/>
        <v>94.199999999999989</v>
      </c>
      <c r="AA42" s="104">
        <f t="shared" si="7"/>
        <v>15</v>
      </c>
    </row>
    <row r="43" spans="1:27" s="4" customFormat="1">
      <c r="A43" s="29">
        <v>20150613</v>
      </c>
      <c r="B43" s="26" t="s">
        <v>228</v>
      </c>
      <c r="C43" s="26">
        <v>175</v>
      </c>
      <c r="D43" s="26">
        <v>0.2</v>
      </c>
      <c r="E43" s="30"/>
      <c r="F43" s="54" t="s">
        <v>205</v>
      </c>
      <c r="G43" s="26"/>
      <c r="H43" s="26"/>
      <c r="I43" s="67">
        <v>35</v>
      </c>
      <c r="J43" s="26">
        <v>50</v>
      </c>
      <c r="K43" s="26">
        <v>67</v>
      </c>
      <c r="L43" s="58">
        <v>2</v>
      </c>
      <c r="M43" s="26">
        <v>299</v>
      </c>
      <c r="N43" s="155">
        <f t="shared" si="0"/>
        <v>10.016500000000001</v>
      </c>
      <c r="O43" s="52">
        <f t="shared" si="1"/>
        <v>500.82500000000005</v>
      </c>
      <c r="P43" s="55">
        <f t="shared" si="10"/>
        <v>0.56338028169014087</v>
      </c>
      <c r="Q43" s="70">
        <f t="shared" si="9"/>
        <v>0.88896437500000003</v>
      </c>
      <c r="R43" s="26">
        <v>3.2</v>
      </c>
      <c r="S43" s="162">
        <f t="shared" si="3"/>
        <v>0.27780136718749998</v>
      </c>
      <c r="T43" s="56" t="s">
        <v>169</v>
      </c>
      <c r="U43" s="41">
        <v>369</v>
      </c>
      <c r="V43" s="41">
        <f t="shared" si="8"/>
        <v>36.9</v>
      </c>
      <c r="W43" s="41">
        <f t="shared" si="4"/>
        <v>1845</v>
      </c>
      <c r="X43" s="41">
        <f t="shared" si="5"/>
        <v>2.7100271002710028</v>
      </c>
      <c r="Y43" s="41">
        <v>3</v>
      </c>
      <c r="Z43" s="57">
        <f t="shared" si="6"/>
        <v>110.69999999999999</v>
      </c>
      <c r="AA43" s="104">
        <f t="shared" si="7"/>
        <v>15</v>
      </c>
    </row>
    <row r="44" spans="1:27" s="4" customFormat="1">
      <c r="A44" s="29">
        <v>20150613</v>
      </c>
      <c r="B44" s="26" t="s">
        <v>228</v>
      </c>
      <c r="C44" s="49">
        <v>175</v>
      </c>
      <c r="D44" s="26">
        <v>0.03</v>
      </c>
      <c r="E44" s="30"/>
      <c r="F44" s="54" t="s">
        <v>205</v>
      </c>
      <c r="G44" s="49"/>
      <c r="H44" s="49"/>
      <c r="I44" s="67">
        <v>36</v>
      </c>
      <c r="J44" s="26">
        <v>50</v>
      </c>
      <c r="K44" s="26">
        <v>67</v>
      </c>
      <c r="L44" s="58">
        <v>2</v>
      </c>
      <c r="M44" s="26">
        <v>138</v>
      </c>
      <c r="N44" s="155">
        <f t="shared" si="0"/>
        <v>4.6230000000000002</v>
      </c>
      <c r="O44" s="52">
        <f t="shared" si="1"/>
        <v>231.15</v>
      </c>
      <c r="P44" s="55">
        <f t="shared" si="10"/>
        <v>0.56338028169014087</v>
      </c>
      <c r="Q44" s="70">
        <f t="shared" si="9"/>
        <v>0.41029125</v>
      </c>
      <c r="R44" s="26">
        <v>3.2</v>
      </c>
      <c r="S44" s="162">
        <f t="shared" si="3"/>
        <v>0.12821601562499998</v>
      </c>
      <c r="T44" s="56" t="s">
        <v>170</v>
      </c>
      <c r="U44" s="41">
        <v>424</v>
      </c>
      <c r="V44" s="41">
        <f t="shared" si="8"/>
        <v>42.4</v>
      </c>
      <c r="W44" s="41">
        <f t="shared" si="4"/>
        <v>2120</v>
      </c>
      <c r="X44" s="41">
        <f t="shared" si="5"/>
        <v>2.358490566037736</v>
      </c>
      <c r="Y44" s="41">
        <v>2</v>
      </c>
      <c r="Z44" s="57">
        <f t="shared" si="6"/>
        <v>84.8</v>
      </c>
      <c r="AA44" s="104">
        <f t="shared" si="7"/>
        <v>16</v>
      </c>
    </row>
    <row r="45" spans="1:27" s="4" customFormat="1">
      <c r="A45" s="29">
        <v>20150614</v>
      </c>
      <c r="B45" s="26" t="s">
        <v>156</v>
      </c>
      <c r="C45" s="26">
        <v>2000</v>
      </c>
      <c r="D45" s="26">
        <v>3</v>
      </c>
      <c r="E45" s="30"/>
      <c r="F45" s="54" t="s">
        <v>205</v>
      </c>
      <c r="G45" s="26"/>
      <c r="H45" s="26"/>
      <c r="I45" s="67">
        <v>41</v>
      </c>
      <c r="J45" s="26">
        <v>50</v>
      </c>
      <c r="K45" s="26">
        <v>67</v>
      </c>
      <c r="L45" s="58">
        <v>2</v>
      </c>
      <c r="M45" s="26">
        <v>8.8000000000000007</v>
      </c>
      <c r="N45" s="155">
        <f t="shared" ref="N45:N73" si="12">M45*K45/1000/L45</f>
        <v>0.29480000000000001</v>
      </c>
      <c r="O45" s="52">
        <f t="shared" si="1"/>
        <v>14.740000000000002</v>
      </c>
      <c r="P45" s="55">
        <f t="shared" si="10"/>
        <v>0.56338028169014087</v>
      </c>
      <c r="Q45" s="70">
        <f t="shared" si="9"/>
        <v>2.6163500000000003E-2</v>
      </c>
      <c r="R45" s="4">
        <f>0.15+4+3.55</f>
        <v>7.7</v>
      </c>
      <c r="S45" s="162">
        <f t="shared" si="3"/>
        <v>3.397857142857143E-3</v>
      </c>
      <c r="T45" s="56" t="s">
        <v>175</v>
      </c>
      <c r="U45" s="41">
        <v>89.6</v>
      </c>
      <c r="V45" s="41">
        <f t="shared" si="8"/>
        <v>8.9600000000000009</v>
      </c>
      <c r="W45" s="41">
        <f t="shared" si="4"/>
        <v>448.00000000000006</v>
      </c>
      <c r="X45" s="41">
        <f t="shared" si="5"/>
        <v>11.160714285714285</v>
      </c>
      <c r="Y45" s="41">
        <v>10</v>
      </c>
      <c r="Z45" s="57">
        <f t="shared" si="6"/>
        <v>89.600000000000009</v>
      </c>
      <c r="AA45" s="104">
        <f t="shared" si="7"/>
        <v>8</v>
      </c>
    </row>
    <row r="46" spans="1:27" s="4" customFormat="1">
      <c r="A46" s="29">
        <v>20150614</v>
      </c>
      <c r="B46" s="26" t="s">
        <v>156</v>
      </c>
      <c r="C46" s="26">
        <v>2000</v>
      </c>
      <c r="D46" s="26">
        <v>0.6</v>
      </c>
      <c r="E46" s="30"/>
      <c r="F46" s="54" t="s">
        <v>205</v>
      </c>
      <c r="G46" s="26"/>
      <c r="H46" s="26"/>
      <c r="I46" s="67">
        <v>42</v>
      </c>
      <c r="J46" s="26">
        <v>50</v>
      </c>
      <c r="K46" s="26">
        <v>67</v>
      </c>
      <c r="L46" s="58">
        <v>2</v>
      </c>
      <c r="M46" s="26">
        <v>22</v>
      </c>
      <c r="N46" s="155">
        <f t="shared" si="12"/>
        <v>0.73699999999999999</v>
      </c>
      <c r="O46" s="52">
        <f t="shared" si="1"/>
        <v>36.85</v>
      </c>
      <c r="P46" s="55">
        <f t="shared" si="10"/>
        <v>0.56338028169014087</v>
      </c>
      <c r="Q46" s="70">
        <f t="shared" si="9"/>
        <v>6.5408750000000002E-2</v>
      </c>
      <c r="R46" s="4">
        <f>0.15+3.55-0.6</f>
        <v>3.0999999999999996</v>
      </c>
      <c r="S46" s="162">
        <f t="shared" si="3"/>
        <v>2.1099596774193551E-2</v>
      </c>
      <c r="T46" s="56" t="s">
        <v>176</v>
      </c>
      <c r="U46" s="41">
        <v>166</v>
      </c>
      <c r="V46" s="41">
        <f t="shared" si="8"/>
        <v>16.600000000000001</v>
      </c>
      <c r="W46" s="41">
        <f t="shared" si="4"/>
        <v>830.00000000000011</v>
      </c>
      <c r="X46" s="41">
        <f t="shared" si="5"/>
        <v>6.0240963855421681</v>
      </c>
      <c r="Y46" s="41">
        <v>6</v>
      </c>
      <c r="Z46" s="57">
        <f t="shared" si="6"/>
        <v>99.600000000000009</v>
      </c>
      <c r="AA46" s="104">
        <f t="shared" si="7"/>
        <v>12</v>
      </c>
    </row>
    <row r="47" spans="1:27" s="4" customFormat="1">
      <c r="A47" s="29">
        <v>20150614</v>
      </c>
      <c r="B47" s="26" t="s">
        <v>156</v>
      </c>
      <c r="C47" s="26">
        <v>2000</v>
      </c>
      <c r="D47" s="26">
        <v>0.2</v>
      </c>
      <c r="E47" s="30"/>
      <c r="F47" s="54" t="s">
        <v>205</v>
      </c>
      <c r="G47" s="26"/>
      <c r="H47" s="26"/>
      <c r="I47" s="67">
        <v>43</v>
      </c>
      <c r="J47" s="26">
        <v>50</v>
      </c>
      <c r="K47" s="26">
        <v>67</v>
      </c>
      <c r="L47" s="58">
        <v>2</v>
      </c>
      <c r="M47" s="26">
        <v>24</v>
      </c>
      <c r="N47" s="155">
        <f t="shared" si="12"/>
        <v>0.80400000000000005</v>
      </c>
      <c r="O47" s="52">
        <f t="shared" si="1"/>
        <v>40.200000000000003</v>
      </c>
      <c r="P47" s="55">
        <f t="shared" si="10"/>
        <v>0.56338028169014087</v>
      </c>
      <c r="Q47" s="70">
        <f t="shared" si="9"/>
        <v>7.1355000000000002E-2</v>
      </c>
      <c r="R47" s="4">
        <v>3.55</v>
      </c>
      <c r="S47" s="162">
        <f t="shared" si="3"/>
        <v>2.01E-2</v>
      </c>
      <c r="T47" s="56" t="s">
        <v>177</v>
      </c>
      <c r="U47" s="41">
        <v>225</v>
      </c>
      <c r="V47" s="41">
        <f t="shared" si="8"/>
        <v>22.5</v>
      </c>
      <c r="W47" s="41">
        <f t="shared" si="4"/>
        <v>1125</v>
      </c>
      <c r="X47" s="41">
        <f t="shared" si="5"/>
        <v>4.4444444444444446</v>
      </c>
      <c r="Y47" s="41">
        <v>4</v>
      </c>
      <c r="Z47" s="57">
        <f t="shared" si="6"/>
        <v>90</v>
      </c>
      <c r="AA47" s="104">
        <f t="shared" si="7"/>
        <v>14</v>
      </c>
    </row>
    <row r="48" spans="1:27" s="4" customFormat="1">
      <c r="A48" s="29">
        <v>20150614</v>
      </c>
      <c r="B48" s="26" t="s">
        <v>156</v>
      </c>
      <c r="C48" s="26">
        <v>2000</v>
      </c>
      <c r="D48" s="26">
        <v>0.03</v>
      </c>
      <c r="E48" s="30"/>
      <c r="F48" s="54" t="s">
        <v>205</v>
      </c>
      <c r="G48" s="26"/>
      <c r="H48" s="26"/>
      <c r="I48" s="67">
        <v>44</v>
      </c>
      <c r="J48" s="26">
        <v>50</v>
      </c>
      <c r="K48" s="26">
        <v>67</v>
      </c>
      <c r="L48" s="58">
        <v>2</v>
      </c>
      <c r="M48" s="26">
        <v>3.3</v>
      </c>
      <c r="N48" s="155">
        <f t="shared" si="12"/>
        <v>0.11055</v>
      </c>
      <c r="O48" s="52">
        <f t="shared" si="1"/>
        <v>5.5274999999999999</v>
      </c>
      <c r="P48" s="55">
        <f t="shared" si="10"/>
        <v>0.56338028169014087</v>
      </c>
      <c r="Q48" s="70">
        <f t="shared" si="9"/>
        <v>9.8113124999999989E-3</v>
      </c>
      <c r="R48" s="4">
        <v>3.55</v>
      </c>
      <c r="S48" s="164">
        <f t="shared" si="3"/>
        <v>2.7637499999999997E-3</v>
      </c>
      <c r="T48" s="56" t="s">
        <v>178</v>
      </c>
      <c r="U48" s="41">
        <v>94.7</v>
      </c>
      <c r="V48" s="41">
        <f t="shared" si="8"/>
        <v>9.4700000000000006</v>
      </c>
      <c r="W48" s="41">
        <f t="shared" si="4"/>
        <v>473.50000000000006</v>
      </c>
      <c r="X48" s="41">
        <f t="shared" si="5"/>
        <v>10.559662090813093</v>
      </c>
      <c r="Y48" s="41">
        <v>10</v>
      </c>
      <c r="Z48" s="57">
        <f t="shared" si="6"/>
        <v>94.7</v>
      </c>
      <c r="AA48" s="104">
        <f t="shared" si="7"/>
        <v>8</v>
      </c>
    </row>
    <row r="49" spans="1:27" s="4" customFormat="1">
      <c r="A49" s="29">
        <v>20150614</v>
      </c>
      <c r="B49" s="26" t="s">
        <v>157</v>
      </c>
      <c r="C49" s="26">
        <v>4780</v>
      </c>
      <c r="D49" s="26">
        <v>3</v>
      </c>
      <c r="E49" s="30"/>
      <c r="F49" s="54" t="s">
        <v>205</v>
      </c>
      <c r="G49" s="28" t="s">
        <v>205</v>
      </c>
      <c r="H49" s="182" t="s">
        <v>246</v>
      </c>
      <c r="I49" s="67">
        <v>37</v>
      </c>
      <c r="J49" s="26">
        <v>50</v>
      </c>
      <c r="K49" s="26">
        <v>67</v>
      </c>
      <c r="L49" s="26">
        <v>2</v>
      </c>
      <c r="M49" s="26">
        <v>6.8</v>
      </c>
      <c r="N49" s="155">
        <f t="shared" si="12"/>
        <v>0.22779999999999997</v>
      </c>
      <c r="O49" s="52">
        <f t="shared" si="1"/>
        <v>11.39</v>
      </c>
      <c r="P49" s="55">
        <f t="shared" si="10"/>
        <v>0.56338028169014087</v>
      </c>
      <c r="Q49" s="70">
        <f t="shared" si="9"/>
        <v>2.0217249999999999E-2</v>
      </c>
      <c r="R49" s="26">
        <f>0.15+2.7+2.45</f>
        <v>5.3000000000000007</v>
      </c>
      <c r="S49" s="164">
        <f t="shared" si="3"/>
        <v>3.8145754716981126E-3</v>
      </c>
      <c r="T49" s="56" t="s">
        <v>171</v>
      </c>
      <c r="U49" s="41">
        <v>139</v>
      </c>
      <c r="V49" s="41">
        <f t="shared" si="8"/>
        <v>13.9</v>
      </c>
      <c r="W49" s="41">
        <f t="shared" si="4"/>
        <v>695</v>
      </c>
      <c r="X49" s="41">
        <f t="shared" si="5"/>
        <v>7.1942446043165464</v>
      </c>
      <c r="Y49" s="41">
        <v>7</v>
      </c>
      <c r="Z49" s="57">
        <f t="shared" si="6"/>
        <v>97.3</v>
      </c>
      <c r="AA49" s="104">
        <f t="shared" si="7"/>
        <v>11</v>
      </c>
    </row>
    <row r="50" spans="1:27" s="4" customFormat="1">
      <c r="A50" s="29">
        <v>20150614</v>
      </c>
      <c r="B50" s="26" t="s">
        <v>157</v>
      </c>
      <c r="C50" s="26">
        <v>4780</v>
      </c>
      <c r="D50" s="26">
        <v>0.6</v>
      </c>
      <c r="E50" s="30"/>
      <c r="F50" s="54" t="s">
        <v>205</v>
      </c>
      <c r="G50" s="28" t="s">
        <v>205</v>
      </c>
      <c r="H50" s="182" t="s">
        <v>247</v>
      </c>
      <c r="I50" s="67">
        <v>38</v>
      </c>
      <c r="J50" s="26">
        <v>50</v>
      </c>
      <c r="K50" s="26">
        <v>67</v>
      </c>
      <c r="L50" s="26">
        <v>2</v>
      </c>
      <c r="M50" s="26">
        <v>12.3</v>
      </c>
      <c r="N50" s="155">
        <f t="shared" si="12"/>
        <v>0.41205000000000003</v>
      </c>
      <c r="O50" s="52">
        <f t="shared" si="1"/>
        <v>20.602500000000003</v>
      </c>
      <c r="P50" s="55">
        <f t="shared" si="10"/>
        <v>0.56338028169014087</v>
      </c>
      <c r="Q50" s="70">
        <f t="shared" si="9"/>
        <v>3.656943750000001E-2</v>
      </c>
      <c r="R50" s="26">
        <f>0.15+2.45-0.6</f>
        <v>2</v>
      </c>
      <c r="S50" s="162">
        <f t="shared" si="3"/>
        <v>1.8284718750000005E-2</v>
      </c>
      <c r="T50" s="56" t="s">
        <v>172</v>
      </c>
      <c r="U50" s="41">
        <v>196</v>
      </c>
      <c r="V50" s="41">
        <f t="shared" si="8"/>
        <v>19.600000000000001</v>
      </c>
      <c r="W50" s="41">
        <f t="shared" si="4"/>
        <v>980.00000000000011</v>
      </c>
      <c r="X50" s="41">
        <f t="shared" si="5"/>
        <v>5.1020408163265305</v>
      </c>
      <c r="Y50" s="41">
        <v>5</v>
      </c>
      <c r="Z50" s="57">
        <f t="shared" si="6"/>
        <v>98</v>
      </c>
      <c r="AA50" s="104">
        <f t="shared" si="7"/>
        <v>13</v>
      </c>
    </row>
    <row r="51" spans="1:27" s="4" customFormat="1">
      <c r="A51" s="29">
        <v>20150614</v>
      </c>
      <c r="B51" s="26" t="s">
        <v>157</v>
      </c>
      <c r="C51" s="26">
        <v>4780</v>
      </c>
      <c r="D51" s="26">
        <v>0.2</v>
      </c>
      <c r="E51" s="30"/>
      <c r="F51" s="54" t="s">
        <v>205</v>
      </c>
      <c r="G51" s="28" t="s">
        <v>205</v>
      </c>
      <c r="H51" s="182" t="s">
        <v>248</v>
      </c>
      <c r="I51" s="67">
        <v>39</v>
      </c>
      <c r="J51" s="26">
        <v>50</v>
      </c>
      <c r="K51" s="26">
        <v>67</v>
      </c>
      <c r="L51" s="26">
        <v>2</v>
      </c>
      <c r="M51" s="26">
        <v>22.9</v>
      </c>
      <c r="N51" s="155">
        <f t="shared" si="12"/>
        <v>0.76715</v>
      </c>
      <c r="O51" s="52">
        <f t="shared" si="1"/>
        <v>38.357500000000002</v>
      </c>
      <c r="P51" s="55">
        <f t="shared" si="10"/>
        <v>0.56338028169014087</v>
      </c>
      <c r="Q51" s="70">
        <f t="shared" si="9"/>
        <v>6.8084562500000001E-2</v>
      </c>
      <c r="R51" s="26">
        <v>2.4500000000000002</v>
      </c>
      <c r="S51" s="162">
        <f t="shared" si="3"/>
        <v>2.7789617346938775E-2</v>
      </c>
      <c r="T51" s="56" t="s">
        <v>173</v>
      </c>
      <c r="U51" s="41">
        <v>244</v>
      </c>
      <c r="V51" s="41">
        <f t="shared" si="8"/>
        <v>24.4</v>
      </c>
      <c r="W51" s="41">
        <f t="shared" si="4"/>
        <v>1220</v>
      </c>
      <c r="X51" s="41">
        <f t="shared" si="5"/>
        <v>4.0983606557377055</v>
      </c>
      <c r="Y51" s="41">
        <v>4</v>
      </c>
      <c r="Z51" s="57">
        <f t="shared" si="6"/>
        <v>97.6</v>
      </c>
      <c r="AA51" s="104">
        <f t="shared" si="7"/>
        <v>14</v>
      </c>
    </row>
    <row r="52" spans="1:27" s="4" customFormat="1">
      <c r="A52" s="29">
        <v>20150614</v>
      </c>
      <c r="B52" s="26" t="s">
        <v>157</v>
      </c>
      <c r="C52" s="26">
        <v>4780</v>
      </c>
      <c r="D52" s="26">
        <v>0.03</v>
      </c>
      <c r="E52" s="30"/>
      <c r="F52" s="54" t="s">
        <v>205</v>
      </c>
      <c r="G52" s="28" t="s">
        <v>205</v>
      </c>
      <c r="H52" s="182" t="s">
        <v>249</v>
      </c>
      <c r="I52" s="67">
        <v>40</v>
      </c>
      <c r="J52" s="26">
        <v>50</v>
      </c>
      <c r="K52" s="26">
        <v>67</v>
      </c>
      <c r="L52" s="26">
        <v>2</v>
      </c>
      <c r="M52" s="26">
        <v>9.3000000000000007</v>
      </c>
      <c r="N52" s="155">
        <f t="shared" si="12"/>
        <v>0.31154999999999999</v>
      </c>
      <c r="O52" s="52">
        <f t="shared" si="1"/>
        <v>15.577500000000001</v>
      </c>
      <c r="P52" s="55">
        <f t="shared" si="10"/>
        <v>0.56338028169014087</v>
      </c>
      <c r="Q52" s="70">
        <f t="shared" si="9"/>
        <v>2.7650062499999999E-2</v>
      </c>
      <c r="R52" s="26">
        <v>2.4500000000000002</v>
      </c>
      <c r="S52" s="162">
        <f t="shared" si="3"/>
        <v>1.1285739795918365E-2</v>
      </c>
      <c r="T52" s="56" t="s">
        <v>174</v>
      </c>
      <c r="U52" s="41">
        <v>171</v>
      </c>
      <c r="V52" s="41">
        <f t="shared" si="8"/>
        <v>17.100000000000001</v>
      </c>
      <c r="W52" s="41">
        <f t="shared" si="4"/>
        <v>855.00000000000011</v>
      </c>
      <c r="X52" s="41">
        <f t="shared" si="5"/>
        <v>5.8479532163742682</v>
      </c>
      <c r="Y52" s="41">
        <v>6</v>
      </c>
      <c r="Z52" s="57">
        <f t="shared" si="6"/>
        <v>102.60000000000001</v>
      </c>
      <c r="AA52" s="104">
        <f t="shared" si="7"/>
        <v>12</v>
      </c>
    </row>
    <row r="53" spans="1:27" s="4" customFormat="1">
      <c r="A53" s="59">
        <v>20150615</v>
      </c>
      <c r="B53" s="26" t="s">
        <v>197</v>
      </c>
      <c r="C53" s="26">
        <v>25</v>
      </c>
      <c r="D53" s="26">
        <v>3</v>
      </c>
      <c r="E53" s="30"/>
      <c r="F53" s="27"/>
      <c r="G53" s="26"/>
      <c r="H53" s="26"/>
      <c r="I53" s="67">
        <v>48</v>
      </c>
      <c r="J53" s="26"/>
      <c r="K53" s="26"/>
      <c r="L53" s="58">
        <v>2</v>
      </c>
      <c r="M53" s="26"/>
      <c r="N53" s="157" t="s">
        <v>198</v>
      </c>
      <c r="O53" s="52"/>
      <c r="P53" s="55">
        <f t="shared" si="10"/>
        <v>0.56338028169014087</v>
      </c>
      <c r="Q53" s="70">
        <f t="shared" si="9"/>
        <v>0</v>
      </c>
      <c r="R53" s="49">
        <v>0</v>
      </c>
      <c r="S53" s="162"/>
      <c r="T53" s="56" t="s">
        <v>179</v>
      </c>
      <c r="U53" s="41"/>
      <c r="V53" s="41"/>
      <c r="W53" s="41"/>
      <c r="X53" s="41"/>
      <c r="Y53" s="26"/>
      <c r="Z53" s="57"/>
      <c r="AA53" s="104"/>
    </row>
    <row r="54" spans="1:27" s="4" customFormat="1">
      <c r="A54" s="59">
        <v>20150615</v>
      </c>
      <c r="B54" s="26" t="s">
        <v>225</v>
      </c>
      <c r="C54" s="26">
        <v>25</v>
      </c>
      <c r="D54" s="26">
        <v>0.6</v>
      </c>
      <c r="E54" s="30"/>
      <c r="F54" s="54" t="s">
        <v>205</v>
      </c>
      <c r="G54" s="26"/>
      <c r="H54" s="26"/>
      <c r="I54" s="67">
        <v>49</v>
      </c>
      <c r="J54" s="26">
        <v>50</v>
      </c>
      <c r="K54" s="26">
        <v>67</v>
      </c>
      <c r="L54" s="58">
        <v>2</v>
      </c>
      <c r="M54" s="26">
        <v>387</v>
      </c>
      <c r="N54" s="157">
        <f t="shared" si="12"/>
        <v>12.964499999999999</v>
      </c>
      <c r="O54" s="52">
        <f t="shared" ref="O54:O73" si="13">N54*1000*0.05</f>
        <v>648.22500000000002</v>
      </c>
      <c r="P54" s="55">
        <f t="shared" si="10"/>
        <v>0.56338028169014087</v>
      </c>
      <c r="Q54" s="70">
        <f t="shared" si="9"/>
        <v>1.1505993750000001</v>
      </c>
      <c r="R54" s="49">
        <v>2.5270000000000001</v>
      </c>
      <c r="S54" s="162">
        <f t="shared" si="3"/>
        <v>0.45532226948951326</v>
      </c>
      <c r="T54" s="56" t="s">
        <v>180</v>
      </c>
      <c r="U54" s="41">
        <v>348</v>
      </c>
      <c r="V54" s="41">
        <f t="shared" si="8"/>
        <v>34.799999999999997</v>
      </c>
      <c r="W54" s="41">
        <f t="shared" si="4"/>
        <v>1739.9999999999998</v>
      </c>
      <c r="X54" s="41">
        <f t="shared" si="5"/>
        <v>2.8735632183908049</v>
      </c>
      <c r="Y54" s="41">
        <v>3</v>
      </c>
      <c r="Z54" s="57">
        <f t="shared" si="6"/>
        <v>104.39999999999999</v>
      </c>
      <c r="AA54" s="104">
        <f t="shared" si="7"/>
        <v>15</v>
      </c>
    </row>
    <row r="55" spans="1:27" s="4" customFormat="1">
      <c r="A55" s="59">
        <v>20150615</v>
      </c>
      <c r="B55" s="26" t="s">
        <v>225</v>
      </c>
      <c r="C55" s="26">
        <v>25</v>
      </c>
      <c r="D55" s="26">
        <v>0.2</v>
      </c>
      <c r="E55" s="30"/>
      <c r="F55" s="54" t="s">
        <v>205</v>
      </c>
      <c r="G55" s="26"/>
      <c r="H55" s="26"/>
      <c r="I55" s="67">
        <v>50</v>
      </c>
      <c r="J55" s="26">
        <v>50</v>
      </c>
      <c r="K55" s="26">
        <v>67</v>
      </c>
      <c r="L55" s="58">
        <v>2</v>
      </c>
      <c r="M55" s="26">
        <v>530</v>
      </c>
      <c r="N55" s="157">
        <f t="shared" si="12"/>
        <v>17.754999999999999</v>
      </c>
      <c r="O55" s="52">
        <f t="shared" si="13"/>
        <v>887.75</v>
      </c>
      <c r="P55" s="55">
        <f t="shared" si="10"/>
        <v>0.56338028169014087</v>
      </c>
      <c r="Q55" s="70">
        <f t="shared" si="9"/>
        <v>1.57575625</v>
      </c>
      <c r="R55" s="49">
        <v>2.5</v>
      </c>
      <c r="S55" s="162">
        <f t="shared" si="3"/>
        <v>0.63030249999999999</v>
      </c>
      <c r="T55" s="56" t="s">
        <v>181</v>
      </c>
      <c r="U55" s="41">
        <v>360</v>
      </c>
      <c r="V55" s="41">
        <f t="shared" si="8"/>
        <v>36</v>
      </c>
      <c r="W55" s="41">
        <f t="shared" si="4"/>
        <v>1800</v>
      </c>
      <c r="X55" s="41">
        <f t="shared" si="5"/>
        <v>2.7777777777777777</v>
      </c>
      <c r="Y55" s="41">
        <v>3</v>
      </c>
      <c r="Z55" s="57">
        <f t="shared" si="6"/>
        <v>108</v>
      </c>
      <c r="AA55" s="104">
        <f t="shared" si="7"/>
        <v>15</v>
      </c>
    </row>
    <row r="56" spans="1:27" s="4" customFormat="1">
      <c r="A56" s="59">
        <v>20150615</v>
      </c>
      <c r="B56" s="26" t="s">
        <v>225</v>
      </c>
      <c r="C56" s="26">
        <v>25</v>
      </c>
      <c r="D56" s="26">
        <v>0.03</v>
      </c>
      <c r="E56" s="30"/>
      <c r="F56" s="54" t="s">
        <v>205</v>
      </c>
      <c r="G56" s="26"/>
      <c r="H56" s="26"/>
      <c r="I56" s="67">
        <v>51</v>
      </c>
      <c r="J56" s="26">
        <v>50</v>
      </c>
      <c r="K56" s="26">
        <v>67</v>
      </c>
      <c r="L56" s="58">
        <v>2</v>
      </c>
      <c r="M56" s="26">
        <v>111</v>
      </c>
      <c r="N56" s="157">
        <f t="shared" si="12"/>
        <v>3.7185000000000001</v>
      </c>
      <c r="O56" s="52">
        <f t="shared" si="13"/>
        <v>185.92500000000001</v>
      </c>
      <c r="P56" s="55">
        <f t="shared" si="10"/>
        <v>0.56338028169014087</v>
      </c>
      <c r="Q56" s="70">
        <f t="shared" si="9"/>
        <v>0.33001687500000004</v>
      </c>
      <c r="R56" s="49">
        <v>2.5</v>
      </c>
      <c r="S56" s="162">
        <f t="shared" si="3"/>
        <v>0.13200675000000001</v>
      </c>
      <c r="T56" s="56" t="s">
        <v>182</v>
      </c>
      <c r="U56" s="41">
        <v>456</v>
      </c>
      <c r="V56" s="41">
        <f t="shared" si="8"/>
        <v>45.6</v>
      </c>
      <c r="W56" s="41">
        <f t="shared" si="4"/>
        <v>2280</v>
      </c>
      <c r="X56" s="41">
        <f t="shared" si="5"/>
        <v>2.1929824561403506</v>
      </c>
      <c r="Y56" s="41">
        <v>2</v>
      </c>
      <c r="Z56" s="57">
        <f t="shared" si="6"/>
        <v>91.2</v>
      </c>
      <c r="AA56" s="104">
        <f t="shared" si="7"/>
        <v>16</v>
      </c>
    </row>
    <row r="57" spans="1:27">
      <c r="A57" s="12">
        <v>20150612</v>
      </c>
      <c r="B57" s="8" t="s">
        <v>227</v>
      </c>
      <c r="C57" s="26">
        <v>25</v>
      </c>
      <c r="D57" s="11" t="s">
        <v>193</v>
      </c>
      <c r="E57" s="9" t="s">
        <v>192</v>
      </c>
      <c r="F57" s="27"/>
      <c r="G57" s="26"/>
      <c r="H57" s="26"/>
      <c r="I57" s="66">
        <v>25</v>
      </c>
      <c r="J57" s="8">
        <v>50</v>
      </c>
      <c r="K57" s="26">
        <v>67</v>
      </c>
      <c r="L57" s="53">
        <v>2</v>
      </c>
      <c r="M57" s="26">
        <v>2.1800000000000002</v>
      </c>
      <c r="N57" s="158">
        <f t="shared" si="12"/>
        <v>7.3029999999999998E-2</v>
      </c>
      <c r="O57" s="52">
        <f t="shared" si="13"/>
        <v>3.6515000000000004</v>
      </c>
      <c r="P57" s="19">
        <f t="shared" si="10"/>
        <v>0.56338028169014087</v>
      </c>
      <c r="Q57" s="69">
        <f t="shared" si="9"/>
        <v>6.4814125000000004E-3</v>
      </c>
      <c r="R57" s="11">
        <v>321483</v>
      </c>
      <c r="S57" s="161">
        <f t="shared" si="3"/>
        <v>2.0160980518409996E-8</v>
      </c>
      <c r="T57" s="21" t="s">
        <v>159</v>
      </c>
      <c r="U57" s="22"/>
      <c r="V57" s="22"/>
      <c r="W57" s="22"/>
      <c r="X57" s="22"/>
      <c r="Y57" s="8"/>
      <c r="Z57" s="24"/>
      <c r="AA57" s="103"/>
    </row>
    <row r="58" spans="1:27">
      <c r="A58" s="12">
        <v>20150612</v>
      </c>
      <c r="B58" s="8" t="s">
        <v>227</v>
      </c>
      <c r="C58" s="26">
        <v>25</v>
      </c>
      <c r="D58" s="11" t="s">
        <v>194</v>
      </c>
      <c r="E58" s="9" t="s">
        <v>192</v>
      </c>
      <c r="F58" s="27"/>
      <c r="G58" s="26"/>
      <c r="H58" s="26"/>
      <c r="I58" s="66">
        <v>26</v>
      </c>
      <c r="J58" s="8">
        <v>50</v>
      </c>
      <c r="K58" s="26">
        <v>67</v>
      </c>
      <c r="L58" s="53">
        <v>2</v>
      </c>
      <c r="M58" s="26">
        <v>0.51</v>
      </c>
      <c r="N58" s="158">
        <f t="shared" si="12"/>
        <v>1.7084999999999999E-2</v>
      </c>
      <c r="O58" s="52">
        <f t="shared" si="13"/>
        <v>0.85425000000000006</v>
      </c>
      <c r="P58" s="19">
        <f t="shared" si="10"/>
        <v>0.56338028169014087</v>
      </c>
      <c r="Q58" s="69">
        <f t="shared" si="9"/>
        <v>1.51629375E-3</v>
      </c>
      <c r="R58" s="11">
        <v>293549</v>
      </c>
      <c r="S58" s="161">
        <f t="shared" si="3"/>
        <v>5.1653855063379537E-9</v>
      </c>
      <c r="T58" s="21" t="s">
        <v>160</v>
      </c>
      <c r="U58" s="22"/>
      <c r="V58" s="22"/>
      <c r="W58" s="22"/>
      <c r="X58" s="22"/>
      <c r="Y58" s="8"/>
      <c r="Z58" s="24"/>
      <c r="AA58" s="103"/>
    </row>
    <row r="59" spans="1:27">
      <c r="A59" s="12">
        <v>20150612</v>
      </c>
      <c r="B59" s="8" t="s">
        <v>226</v>
      </c>
      <c r="C59" s="26">
        <v>300</v>
      </c>
      <c r="D59" s="11" t="s">
        <v>193</v>
      </c>
      <c r="E59" s="9" t="s">
        <v>192</v>
      </c>
      <c r="F59" s="27"/>
      <c r="G59" s="26"/>
      <c r="H59" s="26"/>
      <c r="I59" s="66">
        <v>27</v>
      </c>
      <c r="J59" s="8">
        <v>50</v>
      </c>
      <c r="K59" s="26">
        <v>67</v>
      </c>
      <c r="L59" s="53">
        <v>2</v>
      </c>
      <c r="M59" s="26">
        <v>0.5</v>
      </c>
      <c r="N59" s="158">
        <f t="shared" si="12"/>
        <v>1.6750000000000001E-2</v>
      </c>
      <c r="O59" s="52">
        <f t="shared" si="13"/>
        <v>0.83750000000000002</v>
      </c>
      <c r="P59" s="19">
        <f t="shared" si="10"/>
        <v>0.56338028169014087</v>
      </c>
      <c r="Q59" s="69">
        <f t="shared" si="9"/>
        <v>1.4865625E-3</v>
      </c>
      <c r="R59" s="11">
        <v>60859</v>
      </c>
      <c r="S59" s="161">
        <f t="shared" si="3"/>
        <v>2.4426337928654761E-8</v>
      </c>
      <c r="T59" s="21" t="s">
        <v>161</v>
      </c>
      <c r="U59" s="22"/>
      <c r="V59" s="22"/>
      <c r="W59" s="22"/>
      <c r="X59" s="22"/>
      <c r="Y59" s="8"/>
      <c r="Z59" s="24"/>
      <c r="AA59" s="103"/>
    </row>
    <row r="60" spans="1:27">
      <c r="A60" s="12">
        <v>20150612</v>
      </c>
      <c r="B60" s="8" t="s">
        <v>226</v>
      </c>
      <c r="C60" s="26">
        <v>300</v>
      </c>
      <c r="D60" s="11" t="s">
        <v>194</v>
      </c>
      <c r="E60" s="9" t="s">
        <v>192</v>
      </c>
      <c r="F60" s="27"/>
      <c r="G60" s="26"/>
      <c r="H60" s="26"/>
      <c r="I60" s="66">
        <v>28</v>
      </c>
      <c r="J60" s="8">
        <v>50</v>
      </c>
      <c r="K60" s="26">
        <v>67</v>
      </c>
      <c r="L60" s="53">
        <v>2</v>
      </c>
      <c r="M60" s="26">
        <v>0.5</v>
      </c>
      <c r="N60" s="158">
        <f t="shared" si="12"/>
        <v>1.6750000000000001E-2</v>
      </c>
      <c r="O60" s="52">
        <f t="shared" si="13"/>
        <v>0.83750000000000002</v>
      </c>
      <c r="P60" s="19">
        <f t="shared" si="10"/>
        <v>0.56338028169014087</v>
      </c>
      <c r="Q60" s="69">
        <f t="shared" si="9"/>
        <v>1.4865625E-3</v>
      </c>
      <c r="R60" s="11">
        <v>27844</v>
      </c>
      <c r="S60" s="161">
        <f t="shared" si="3"/>
        <v>5.3388970693865825E-8</v>
      </c>
      <c r="T60" s="21" t="s">
        <v>162</v>
      </c>
      <c r="U60" s="22"/>
      <c r="V60" s="22"/>
      <c r="W60" s="22"/>
      <c r="X60" s="22"/>
      <c r="Y60" s="8"/>
      <c r="Z60" s="24"/>
      <c r="AA60" s="103"/>
    </row>
    <row r="61" spans="1:27">
      <c r="A61" s="12">
        <v>20150614</v>
      </c>
      <c r="B61" s="26" t="s">
        <v>223</v>
      </c>
      <c r="C61" s="26">
        <v>1000</v>
      </c>
      <c r="D61" s="11" t="s">
        <v>193</v>
      </c>
      <c r="E61" s="30" t="s">
        <v>199</v>
      </c>
      <c r="F61" s="27"/>
      <c r="G61" s="26"/>
      <c r="H61" s="26"/>
      <c r="I61" s="66">
        <v>45</v>
      </c>
      <c r="J61" s="8">
        <v>50</v>
      </c>
      <c r="K61" s="26">
        <v>67</v>
      </c>
      <c r="L61" s="53">
        <v>2</v>
      </c>
      <c r="M61" s="26">
        <v>0.56000000000000005</v>
      </c>
      <c r="N61" s="158">
        <f t="shared" si="12"/>
        <v>1.8760000000000002E-2</v>
      </c>
      <c r="O61" s="52">
        <f t="shared" si="13"/>
        <v>0.93800000000000017</v>
      </c>
      <c r="P61" s="19">
        <f t="shared" si="10"/>
        <v>0.56338028169014087</v>
      </c>
      <c r="Q61" s="69">
        <f t="shared" si="9"/>
        <v>1.6649500000000001E-3</v>
      </c>
      <c r="R61" s="11" t="s">
        <v>27</v>
      </c>
      <c r="S61" s="161" t="e">
        <f t="shared" si="3"/>
        <v>#VALUE!</v>
      </c>
      <c r="T61" s="21" t="s">
        <v>159</v>
      </c>
      <c r="U61" s="22"/>
      <c r="V61" s="22"/>
      <c r="W61" s="22"/>
      <c r="X61" s="22"/>
      <c r="Y61" s="8"/>
      <c r="Z61" s="24"/>
      <c r="AA61" s="103"/>
    </row>
    <row r="62" spans="1:27">
      <c r="A62" s="12">
        <v>20150614</v>
      </c>
      <c r="B62" s="26" t="s">
        <v>223</v>
      </c>
      <c r="C62" s="26">
        <v>1000</v>
      </c>
      <c r="D62" s="11" t="s">
        <v>194</v>
      </c>
      <c r="E62" s="30" t="s">
        <v>199</v>
      </c>
      <c r="F62" s="27"/>
      <c r="G62" s="26"/>
      <c r="H62" s="26"/>
      <c r="I62" s="66">
        <v>46</v>
      </c>
      <c r="J62" s="8">
        <v>50</v>
      </c>
      <c r="K62" s="26">
        <v>67</v>
      </c>
      <c r="L62" s="53">
        <v>2</v>
      </c>
      <c r="M62" s="26">
        <v>0</v>
      </c>
      <c r="N62" s="158" t="s">
        <v>198</v>
      </c>
      <c r="O62" s="52" t="e">
        <f t="shared" si="13"/>
        <v>#VALUE!</v>
      </c>
      <c r="P62" s="19">
        <f t="shared" si="10"/>
        <v>0.56338028169014087</v>
      </c>
      <c r="Q62" s="69" t="e">
        <f t="shared" si="9"/>
        <v>#VALUE!</v>
      </c>
      <c r="R62" s="11" t="s">
        <v>27</v>
      </c>
      <c r="S62" s="161" t="e">
        <f t="shared" si="3"/>
        <v>#VALUE!</v>
      </c>
      <c r="T62" s="21" t="s">
        <v>160</v>
      </c>
      <c r="U62" s="22"/>
      <c r="V62" s="22"/>
      <c r="W62" s="22"/>
      <c r="X62" s="22"/>
      <c r="Y62" s="8"/>
      <c r="Z62" s="24"/>
      <c r="AA62" s="103"/>
    </row>
    <row r="63" spans="1:27">
      <c r="A63" s="12">
        <v>20150614</v>
      </c>
      <c r="B63" s="26" t="s">
        <v>222</v>
      </c>
      <c r="C63" s="26">
        <v>4780</v>
      </c>
      <c r="D63" s="11" t="s">
        <v>195</v>
      </c>
      <c r="E63" s="30" t="s">
        <v>199</v>
      </c>
      <c r="F63" s="54" t="s">
        <v>205</v>
      </c>
      <c r="G63" s="26"/>
      <c r="H63" s="26"/>
      <c r="I63" s="66">
        <v>47</v>
      </c>
      <c r="J63" s="8">
        <v>50</v>
      </c>
      <c r="K63" s="26">
        <v>67</v>
      </c>
      <c r="L63" s="53">
        <v>2</v>
      </c>
      <c r="M63" s="26">
        <v>0</v>
      </c>
      <c r="N63" s="158" t="s">
        <v>198</v>
      </c>
      <c r="O63" s="52" t="e">
        <f t="shared" si="13"/>
        <v>#VALUE!</v>
      </c>
      <c r="P63" s="19">
        <f t="shared" si="10"/>
        <v>0.56338028169014087</v>
      </c>
      <c r="Q63" s="69" t="e">
        <f t="shared" si="9"/>
        <v>#VALUE!</v>
      </c>
      <c r="R63" s="11" t="s">
        <v>27</v>
      </c>
      <c r="S63" s="161" t="e">
        <f t="shared" si="3"/>
        <v>#VALUE!</v>
      </c>
      <c r="T63" s="21" t="s">
        <v>179</v>
      </c>
      <c r="U63" s="22">
        <v>35.200000000000003</v>
      </c>
      <c r="V63" s="22">
        <f t="shared" si="8"/>
        <v>3.5200000000000005</v>
      </c>
      <c r="W63" s="22">
        <f t="shared" ref="W63" si="14">V63*50</f>
        <v>176.00000000000003</v>
      </c>
      <c r="X63" s="22">
        <f t="shared" ref="X63" si="15">100/V63</f>
        <v>28.409090909090907</v>
      </c>
      <c r="Y63" s="22">
        <v>10</v>
      </c>
      <c r="Z63" s="24">
        <f t="shared" ref="Z63" si="16">Y63*V63</f>
        <v>35.200000000000003</v>
      </c>
      <c r="AA63" s="103">
        <f t="shared" ref="AA63" si="17">18-Y63</f>
        <v>8</v>
      </c>
    </row>
    <row r="64" spans="1:27">
      <c r="A64" s="12">
        <v>20150613</v>
      </c>
      <c r="B64" s="26" t="s">
        <v>221</v>
      </c>
      <c r="C64" s="49" t="s">
        <v>158</v>
      </c>
      <c r="D64" s="11" t="s">
        <v>194</v>
      </c>
      <c r="E64" s="9" t="s">
        <v>192</v>
      </c>
      <c r="F64" s="27"/>
      <c r="G64" s="49"/>
      <c r="H64" s="49"/>
      <c r="I64" s="66">
        <v>52</v>
      </c>
      <c r="J64" s="8">
        <v>50</v>
      </c>
      <c r="K64" s="26">
        <v>67</v>
      </c>
      <c r="L64" s="53">
        <v>2</v>
      </c>
      <c r="M64" s="26">
        <v>0.52</v>
      </c>
      <c r="N64" s="158">
        <f t="shared" si="12"/>
        <v>1.7420000000000001E-2</v>
      </c>
      <c r="O64" s="52">
        <f t="shared" si="13"/>
        <v>0.87100000000000011</v>
      </c>
      <c r="P64" s="19">
        <f t="shared" si="10"/>
        <v>0.56338028169014087</v>
      </c>
      <c r="Q64" s="69">
        <f t="shared" si="9"/>
        <v>1.5460250000000001E-3</v>
      </c>
      <c r="R64" s="11">
        <v>525039</v>
      </c>
      <c r="S64" s="161">
        <f t="shared" si="3"/>
        <v>2.9445907827799462E-9</v>
      </c>
      <c r="T64" s="21" t="s">
        <v>159</v>
      </c>
      <c r="U64" s="22"/>
      <c r="V64" s="22"/>
      <c r="W64" s="22"/>
      <c r="X64" s="22"/>
      <c r="Y64" s="8"/>
      <c r="Z64" s="24"/>
      <c r="AA64" s="103"/>
    </row>
    <row r="65" spans="1:27">
      <c r="A65" s="12">
        <v>20150613</v>
      </c>
      <c r="B65" s="26" t="s">
        <v>221</v>
      </c>
      <c r="C65" s="49" t="s">
        <v>158</v>
      </c>
      <c r="D65" s="11" t="s">
        <v>193</v>
      </c>
      <c r="E65" s="9" t="s">
        <v>192</v>
      </c>
      <c r="F65" s="27"/>
      <c r="G65" s="49"/>
      <c r="H65" s="49"/>
      <c r="I65" s="66">
        <v>53</v>
      </c>
      <c r="J65" s="8">
        <v>50</v>
      </c>
      <c r="K65" s="26">
        <v>67</v>
      </c>
      <c r="L65" s="53">
        <v>2</v>
      </c>
      <c r="M65" s="26">
        <v>0.73</v>
      </c>
      <c r="N65" s="158">
        <f t="shared" si="12"/>
        <v>2.4454999999999998E-2</v>
      </c>
      <c r="O65" s="52">
        <f t="shared" si="13"/>
        <v>1.22275</v>
      </c>
      <c r="P65" s="19">
        <f t="shared" si="10"/>
        <v>0.56338028169014087</v>
      </c>
      <c r="Q65" s="69">
        <f t="shared" si="9"/>
        <v>2.1703812499999997E-3</v>
      </c>
      <c r="R65" s="11">
        <v>619875</v>
      </c>
      <c r="S65" s="161">
        <f t="shared" si="3"/>
        <v>3.5013208308126634E-9</v>
      </c>
      <c r="T65" s="21" t="s">
        <v>160</v>
      </c>
      <c r="U65" s="22"/>
      <c r="V65" s="22"/>
      <c r="W65" s="22"/>
      <c r="X65" s="22"/>
      <c r="Y65" s="22"/>
      <c r="Z65" s="24"/>
      <c r="AA65" s="103"/>
    </row>
    <row r="66" spans="1:27">
      <c r="A66" s="12">
        <v>20150613</v>
      </c>
      <c r="B66" s="26" t="s">
        <v>221</v>
      </c>
      <c r="C66" s="49" t="s">
        <v>158</v>
      </c>
      <c r="D66" s="11" t="s">
        <v>194</v>
      </c>
      <c r="E66" s="9" t="s">
        <v>191</v>
      </c>
      <c r="F66" s="54" t="s">
        <v>205</v>
      </c>
      <c r="G66" s="49"/>
      <c r="H66" s="49"/>
      <c r="I66" s="66">
        <v>54</v>
      </c>
      <c r="J66" s="8">
        <v>50</v>
      </c>
      <c r="K66" s="26">
        <v>67</v>
      </c>
      <c r="L66" s="53">
        <v>2</v>
      </c>
      <c r="M66" s="26">
        <v>0</v>
      </c>
      <c r="N66" s="158" t="s">
        <v>198</v>
      </c>
      <c r="O66" s="52" t="e">
        <f t="shared" si="13"/>
        <v>#VALUE!</v>
      </c>
      <c r="P66" s="19">
        <f t="shared" si="10"/>
        <v>0.56338028169014087</v>
      </c>
      <c r="Q66" s="69" t="e">
        <f t="shared" si="9"/>
        <v>#VALUE!</v>
      </c>
      <c r="R66" s="11">
        <v>279861</v>
      </c>
      <c r="S66" s="161" t="e">
        <f t="shared" si="3"/>
        <v>#VALUE!</v>
      </c>
      <c r="T66" s="21" t="s">
        <v>161</v>
      </c>
      <c r="U66" s="22">
        <v>284</v>
      </c>
      <c r="V66" s="22">
        <f t="shared" si="8"/>
        <v>28.4</v>
      </c>
      <c r="W66" s="22">
        <f t="shared" ref="W66:W69" si="18">V66*50</f>
        <v>1420</v>
      </c>
      <c r="X66" s="106">
        <v>6</v>
      </c>
      <c r="Y66" s="22">
        <v>4</v>
      </c>
      <c r="Z66" s="24">
        <f t="shared" ref="Z66:Z69" si="19">Y66*V66</f>
        <v>113.6</v>
      </c>
      <c r="AA66" s="103">
        <f t="shared" ref="AA66:AA69" si="20">18-Y66</f>
        <v>14</v>
      </c>
    </row>
    <row r="67" spans="1:27">
      <c r="A67" s="12">
        <v>20150613</v>
      </c>
      <c r="B67" s="26" t="s">
        <v>221</v>
      </c>
      <c r="C67" s="49" t="s">
        <v>158</v>
      </c>
      <c r="D67" s="112" t="s">
        <v>193</v>
      </c>
      <c r="E67" s="9" t="s">
        <v>191</v>
      </c>
      <c r="F67" s="54" t="s">
        <v>205</v>
      </c>
      <c r="G67" s="49"/>
      <c r="H67" s="49"/>
      <c r="I67" s="66">
        <v>55</v>
      </c>
      <c r="J67" s="8">
        <v>50</v>
      </c>
      <c r="K67" s="26">
        <v>67</v>
      </c>
      <c r="L67" s="53">
        <v>2</v>
      </c>
      <c r="M67" s="26">
        <v>0.75</v>
      </c>
      <c r="N67" s="158">
        <f t="shared" si="12"/>
        <v>2.5125000000000001E-2</v>
      </c>
      <c r="O67" s="52">
        <f t="shared" si="13"/>
        <v>1.2562500000000001</v>
      </c>
      <c r="P67" s="19">
        <f t="shared" si="10"/>
        <v>0.56338028169014087</v>
      </c>
      <c r="Q67" s="69">
        <f t="shared" si="9"/>
        <v>2.2298437500000001E-3</v>
      </c>
      <c r="R67" s="11">
        <v>468293</v>
      </c>
      <c r="S67" s="161">
        <f t="shared" si="3"/>
        <v>4.7616422837838702E-9</v>
      </c>
      <c r="T67" s="21" t="s">
        <v>162</v>
      </c>
      <c r="U67" s="22">
        <v>151</v>
      </c>
      <c r="V67" s="22">
        <f t="shared" si="8"/>
        <v>15.1</v>
      </c>
      <c r="W67" s="22">
        <f t="shared" si="18"/>
        <v>755</v>
      </c>
      <c r="X67" s="106">
        <v>6</v>
      </c>
      <c r="Y67" s="22">
        <v>7</v>
      </c>
      <c r="Z67" s="24">
        <f t="shared" si="19"/>
        <v>105.7</v>
      </c>
      <c r="AA67" s="103">
        <f t="shared" si="20"/>
        <v>11</v>
      </c>
    </row>
    <row r="68" spans="1:27">
      <c r="A68" s="12">
        <v>20150615</v>
      </c>
      <c r="B68" s="26" t="s">
        <v>224</v>
      </c>
      <c r="C68" s="26">
        <v>300</v>
      </c>
      <c r="D68" s="112" t="s">
        <v>193</v>
      </c>
      <c r="E68" s="30" t="s">
        <v>199</v>
      </c>
      <c r="F68" s="54" t="s">
        <v>205</v>
      </c>
      <c r="G68" s="26"/>
      <c r="H68" s="26"/>
      <c r="I68" s="66">
        <v>60</v>
      </c>
      <c r="J68" s="8">
        <v>50</v>
      </c>
      <c r="K68" s="26">
        <v>67</v>
      </c>
      <c r="L68" s="26">
        <v>2</v>
      </c>
      <c r="M68" s="26">
        <v>0</v>
      </c>
      <c r="N68" s="158" t="s">
        <v>198</v>
      </c>
      <c r="O68" s="52" t="e">
        <f t="shared" si="13"/>
        <v>#VALUE!</v>
      </c>
      <c r="P68" s="19">
        <f t="shared" si="10"/>
        <v>0.56338028169014087</v>
      </c>
      <c r="Q68" s="69" t="e">
        <f t="shared" si="9"/>
        <v>#VALUE!</v>
      </c>
      <c r="R68" s="11">
        <v>346626</v>
      </c>
      <c r="S68" s="161" t="e">
        <f t="shared" si="3"/>
        <v>#VALUE!</v>
      </c>
      <c r="T68" s="21" t="s">
        <v>159</v>
      </c>
      <c r="U68" s="22">
        <v>206</v>
      </c>
      <c r="V68" s="22">
        <f t="shared" si="8"/>
        <v>20.6</v>
      </c>
      <c r="W68" s="22">
        <f t="shared" si="18"/>
        <v>1030</v>
      </c>
      <c r="X68" s="106">
        <v>6</v>
      </c>
      <c r="Y68" s="22">
        <v>5</v>
      </c>
      <c r="Z68" s="24">
        <f t="shared" si="19"/>
        <v>103</v>
      </c>
      <c r="AA68" s="103">
        <f t="shared" si="20"/>
        <v>13</v>
      </c>
    </row>
    <row r="69" spans="1:27">
      <c r="A69" s="12">
        <v>20150615</v>
      </c>
      <c r="B69" s="26" t="s">
        <v>224</v>
      </c>
      <c r="C69" s="26">
        <v>300</v>
      </c>
      <c r="D69" s="112" t="s">
        <v>194</v>
      </c>
      <c r="E69" s="30" t="s">
        <v>199</v>
      </c>
      <c r="F69" s="54" t="s">
        <v>205</v>
      </c>
      <c r="G69" s="26"/>
      <c r="H69" s="26"/>
      <c r="I69" s="66">
        <v>61</v>
      </c>
      <c r="J69" s="8">
        <v>50</v>
      </c>
      <c r="K69" s="26">
        <v>67</v>
      </c>
      <c r="L69" s="26">
        <v>2</v>
      </c>
      <c r="M69" s="26">
        <v>0</v>
      </c>
      <c r="N69" s="158" t="s">
        <v>198</v>
      </c>
      <c r="O69" s="52" t="e">
        <f t="shared" si="13"/>
        <v>#VALUE!</v>
      </c>
      <c r="P69" s="19">
        <f t="shared" si="10"/>
        <v>0.56338028169014087</v>
      </c>
      <c r="Q69" s="69" t="e">
        <f t="shared" si="9"/>
        <v>#VALUE!</v>
      </c>
      <c r="R69" s="11">
        <v>418320</v>
      </c>
      <c r="S69" s="161" t="e">
        <f t="shared" si="3"/>
        <v>#VALUE!</v>
      </c>
      <c r="T69" s="21" t="s">
        <v>160</v>
      </c>
      <c r="U69" s="22">
        <v>280</v>
      </c>
      <c r="V69" s="22">
        <f t="shared" si="8"/>
        <v>28</v>
      </c>
      <c r="W69" s="22">
        <f t="shared" si="18"/>
        <v>1400</v>
      </c>
      <c r="X69" s="106">
        <v>6</v>
      </c>
      <c r="Y69" s="22">
        <v>4</v>
      </c>
      <c r="Z69" s="24">
        <f t="shared" si="19"/>
        <v>112</v>
      </c>
      <c r="AA69" s="103">
        <f t="shared" si="20"/>
        <v>14</v>
      </c>
    </row>
    <row r="70" spans="1:27">
      <c r="A70" s="12">
        <v>20150615</v>
      </c>
      <c r="B70" s="26" t="s">
        <v>225</v>
      </c>
      <c r="C70" s="8">
        <v>25</v>
      </c>
      <c r="D70" s="11">
        <v>0.03</v>
      </c>
      <c r="E70" s="10"/>
      <c r="F70" s="28"/>
      <c r="G70" s="28" t="s">
        <v>205</v>
      </c>
      <c r="H70" s="182" t="s">
        <v>250</v>
      </c>
      <c r="I70" s="66">
        <v>56</v>
      </c>
      <c r="J70" s="8">
        <v>50</v>
      </c>
      <c r="K70" s="26">
        <v>400</v>
      </c>
      <c r="L70" s="26">
        <v>2</v>
      </c>
      <c r="M70" s="26">
        <v>68.599999999999994</v>
      </c>
      <c r="N70" s="154">
        <f t="shared" si="12"/>
        <v>13.719999999999999</v>
      </c>
      <c r="O70" s="52">
        <f t="shared" si="13"/>
        <v>686</v>
      </c>
      <c r="P70" s="19">
        <f t="shared" si="10"/>
        <v>0.56338028169014087</v>
      </c>
      <c r="Q70" s="69">
        <f t="shared" si="9"/>
        <v>1.2176499999999999</v>
      </c>
      <c r="R70" s="11">
        <v>2.35</v>
      </c>
      <c r="S70" s="161">
        <f t="shared" si="3"/>
        <v>0.51814893617021274</v>
      </c>
      <c r="T70" s="21" t="s">
        <v>183</v>
      </c>
      <c r="U70" s="22"/>
      <c r="V70" s="22"/>
      <c r="W70" s="22"/>
      <c r="X70" s="22"/>
      <c r="Y70" s="23"/>
      <c r="Z70" s="24"/>
      <c r="AA70" s="103"/>
    </row>
    <row r="71" spans="1:27">
      <c r="A71" s="12">
        <v>20150615</v>
      </c>
      <c r="B71" s="26" t="s">
        <v>225</v>
      </c>
      <c r="C71" s="26">
        <v>25</v>
      </c>
      <c r="D71" s="11">
        <v>0.03</v>
      </c>
      <c r="E71" s="10"/>
      <c r="F71" s="27"/>
      <c r="G71" s="28" t="s">
        <v>205</v>
      </c>
      <c r="H71" s="182" t="s">
        <v>251</v>
      </c>
      <c r="I71" s="66">
        <v>57</v>
      </c>
      <c r="J71" s="8">
        <v>50</v>
      </c>
      <c r="K71" s="26">
        <v>400</v>
      </c>
      <c r="L71" s="26">
        <v>2</v>
      </c>
      <c r="M71" s="26">
        <v>59.8</v>
      </c>
      <c r="N71" s="154">
        <f t="shared" si="12"/>
        <v>11.96</v>
      </c>
      <c r="O71" s="52">
        <f t="shared" si="13"/>
        <v>598</v>
      </c>
      <c r="P71" s="19">
        <f t="shared" si="10"/>
        <v>0.56338028169014087</v>
      </c>
      <c r="Q71" s="69">
        <f t="shared" si="9"/>
        <v>1.06145</v>
      </c>
      <c r="R71" s="11">
        <v>2.2000000000000002</v>
      </c>
      <c r="S71" s="161">
        <f t="shared" si="3"/>
        <v>0.4824772727272727</v>
      </c>
      <c r="T71" s="21" t="s">
        <v>183</v>
      </c>
      <c r="U71" s="22"/>
      <c r="V71" s="22"/>
      <c r="W71" s="22"/>
      <c r="X71" s="22"/>
      <c r="Y71" s="23"/>
      <c r="Z71" s="24"/>
      <c r="AA71" s="103"/>
    </row>
    <row r="72" spans="1:27">
      <c r="A72" s="12">
        <v>20150615</v>
      </c>
      <c r="B72" s="26" t="s">
        <v>225</v>
      </c>
      <c r="C72" s="26">
        <v>25</v>
      </c>
      <c r="D72" s="11">
        <v>0.02</v>
      </c>
      <c r="E72" s="10"/>
      <c r="F72" s="27"/>
      <c r="G72" s="63" t="s">
        <v>205</v>
      </c>
      <c r="H72" s="63"/>
      <c r="I72" s="66">
        <v>58</v>
      </c>
      <c r="J72" s="8">
        <v>50</v>
      </c>
      <c r="K72" s="8">
        <v>67</v>
      </c>
      <c r="L72" s="26">
        <v>2</v>
      </c>
      <c r="M72" s="26">
        <v>91.3</v>
      </c>
      <c r="N72" s="154">
        <f t="shared" si="12"/>
        <v>3.0585499999999999</v>
      </c>
      <c r="O72" s="52">
        <f t="shared" si="13"/>
        <v>152.92749999999998</v>
      </c>
      <c r="P72" s="19">
        <f t="shared" si="10"/>
        <v>0.56338028169014087</v>
      </c>
      <c r="Q72" s="69">
        <f t="shared" si="9"/>
        <v>0.27144631249999995</v>
      </c>
      <c r="R72" s="11">
        <v>1.1000000000000001</v>
      </c>
      <c r="S72" s="161">
        <f t="shared" si="3"/>
        <v>0.24676937499999993</v>
      </c>
      <c r="T72" s="21" t="s">
        <v>183</v>
      </c>
      <c r="U72" s="22"/>
      <c r="V72" s="22"/>
      <c r="W72" s="22"/>
      <c r="X72" s="22"/>
      <c r="Y72" s="23"/>
      <c r="Z72" s="24"/>
      <c r="AA72" s="103"/>
    </row>
    <row r="73" spans="1:27">
      <c r="A73" s="117">
        <v>20150615</v>
      </c>
      <c r="B73" s="118" t="s">
        <v>225</v>
      </c>
      <c r="C73" s="118">
        <v>25</v>
      </c>
      <c r="D73" s="119">
        <v>0.02</v>
      </c>
      <c r="E73" s="120"/>
      <c r="F73" s="121"/>
      <c r="G73" s="64" t="s">
        <v>205</v>
      </c>
      <c r="H73" s="64"/>
      <c r="I73" s="122">
        <v>59</v>
      </c>
      <c r="J73" s="118">
        <v>50</v>
      </c>
      <c r="K73" s="118">
        <v>67</v>
      </c>
      <c r="L73" s="118">
        <v>2</v>
      </c>
      <c r="M73" s="118">
        <v>169</v>
      </c>
      <c r="N73" s="159">
        <f t="shared" si="12"/>
        <v>5.6615000000000002</v>
      </c>
      <c r="O73" s="123">
        <f t="shared" si="13"/>
        <v>283.07499999999999</v>
      </c>
      <c r="P73" s="124">
        <f t="shared" si="10"/>
        <v>0.56338028169014087</v>
      </c>
      <c r="Q73" s="125">
        <f t="shared" si="9"/>
        <v>0.50245812499999998</v>
      </c>
      <c r="R73" s="119">
        <v>1.3</v>
      </c>
      <c r="S73" s="165">
        <f t="shared" si="3"/>
        <v>0.38650625</v>
      </c>
      <c r="T73" s="126" t="s">
        <v>183</v>
      </c>
      <c r="U73" s="127"/>
      <c r="V73" s="127"/>
      <c r="W73" s="127"/>
      <c r="X73" s="127"/>
      <c r="Y73" s="128"/>
      <c r="Z73" s="129"/>
      <c r="AA73" s="130"/>
    </row>
    <row r="74" spans="1:27">
      <c r="A74" s="131" t="s">
        <v>218</v>
      </c>
      <c r="B74" s="31" t="s">
        <v>48</v>
      </c>
      <c r="C74" s="33" t="s">
        <v>33</v>
      </c>
      <c r="D74" s="33" t="s">
        <v>33</v>
      </c>
      <c r="E74" s="33" t="s">
        <v>206</v>
      </c>
      <c r="F74" s="33"/>
      <c r="G74" s="14"/>
      <c r="H74" s="14"/>
      <c r="I74" s="68" t="s">
        <v>33</v>
      </c>
      <c r="J74" s="31">
        <v>40</v>
      </c>
      <c r="K74" s="132">
        <f>200/0.66</f>
        <v>303.030303030303</v>
      </c>
      <c r="L74" s="31">
        <v>2</v>
      </c>
      <c r="M74" s="31">
        <v>28</v>
      </c>
      <c r="N74" s="159">
        <f>M74*K74/1000/L74</f>
        <v>4.2424242424242422</v>
      </c>
      <c r="O74" s="31">
        <f>N74*1000*0.04</f>
        <v>169.69696969696969</v>
      </c>
      <c r="P74" s="13"/>
      <c r="Q74" s="14"/>
      <c r="R74" s="13"/>
      <c r="S74" s="14"/>
      <c r="T74" s="20"/>
      <c r="U74" s="13"/>
      <c r="V74" s="13"/>
      <c r="W74" s="25"/>
      <c r="X74" s="13"/>
      <c r="Y74" s="119" t="s">
        <v>219</v>
      </c>
      <c r="Z74" s="107">
        <f>SUM(Z13:Z73)</f>
        <v>4768.4999999999991</v>
      </c>
      <c r="AA74" s="108"/>
    </row>
    <row r="75" spans="1:27">
      <c r="K75" s="2"/>
    </row>
    <row r="76" spans="1:27" s="1" customFormat="1" ht="37" customHeight="1">
      <c r="H76" s="32"/>
      <c r="I76" s="32"/>
      <c r="Y76"/>
      <c r="Z76"/>
      <c r="AA76"/>
    </row>
    <row r="77" spans="1:27" ht="14" thickBot="1">
      <c r="W77" s="2"/>
    </row>
    <row r="78" spans="1:27" ht="27" customHeight="1">
      <c r="A78" s="133" t="s">
        <v>252</v>
      </c>
      <c r="F78" s="40"/>
      <c r="H78" s="40"/>
      <c r="I78" s="40"/>
      <c r="J78" s="166" t="s">
        <v>220</v>
      </c>
      <c r="K78" s="167"/>
      <c r="L78" s="146" t="s">
        <v>208</v>
      </c>
      <c r="M78" s="140"/>
      <c r="N78" s="140"/>
      <c r="O78" s="135"/>
    </row>
    <row r="79" spans="1:27" ht="26">
      <c r="A79" s="134" t="s">
        <v>23</v>
      </c>
      <c r="B79" s="171" t="s">
        <v>233</v>
      </c>
      <c r="C79" s="168" t="s">
        <v>207</v>
      </c>
      <c r="D79" s="172" t="s">
        <v>234</v>
      </c>
      <c r="E79" s="168" t="s">
        <v>207</v>
      </c>
      <c r="F79" s="172" t="s">
        <v>235</v>
      </c>
      <c r="G79" s="172" t="s">
        <v>207</v>
      </c>
      <c r="H79" s="171" t="s">
        <v>236</v>
      </c>
      <c r="I79" s="168" t="s">
        <v>207</v>
      </c>
      <c r="J79" s="169" t="s">
        <v>232</v>
      </c>
      <c r="K79" s="170" t="s">
        <v>209</v>
      </c>
      <c r="L79" s="20" t="s">
        <v>210</v>
      </c>
      <c r="M79" s="13" t="s">
        <v>211</v>
      </c>
      <c r="N79" s="13" t="s">
        <v>212</v>
      </c>
      <c r="O79" s="14" t="s">
        <v>213</v>
      </c>
    </row>
    <row r="80" spans="1:27">
      <c r="A80" s="36">
        <v>25</v>
      </c>
      <c r="B80" s="136">
        <f>AVERAGE(S13,S25,S37)</f>
        <v>0.16844498189961102</v>
      </c>
      <c r="C80" s="9">
        <f>STDEV(S13,S25,S37)</f>
        <v>6.1897882178193704E-2</v>
      </c>
      <c r="D80" s="138">
        <f>AVERAGE(S14,S26,S54)</f>
        <v>0.48595752165394474</v>
      </c>
      <c r="E80" s="18">
        <f>STDEV(S14,S26,S54)</f>
        <v>0.10654056125342493</v>
      </c>
      <c r="F80" s="136">
        <f>(S15+S27+S55)/3</f>
        <v>0.7921729054054053</v>
      </c>
      <c r="G80" s="9">
        <f>STDEV(S15, S27, S55)</f>
        <v>0.2376426293480032</v>
      </c>
      <c r="H80" s="136">
        <f>AVERAGE(S28,S40,S56)</f>
        <v>0.20922516666666668</v>
      </c>
      <c r="I80" s="141">
        <f>STDEV(S28,S40,S56)</f>
        <v>6.7252519669791164E-2</v>
      </c>
      <c r="J80" s="142">
        <f t="shared" ref="J80:J87" si="21">B80+D80+F80+H80</f>
        <v>1.6558005756256278</v>
      </c>
      <c r="K80" s="143">
        <f>SQRT(C80^2+E80^2+G80^2+I80^2)</f>
        <v>0.27600572402707235</v>
      </c>
      <c r="L80" s="173">
        <f>100*B80/$J80</f>
        <v>10.173023513774643</v>
      </c>
      <c r="M80" s="174">
        <f>100*D80/$J80</f>
        <v>29.348795308295536</v>
      </c>
      <c r="N80" s="174">
        <f>100*F80/$J80</f>
        <v>47.842289528501382</v>
      </c>
      <c r="O80" s="175">
        <f>100*H80/$J80</f>
        <v>12.635891649428435</v>
      </c>
    </row>
    <row r="81" spans="1:15">
      <c r="A81" s="36">
        <v>75</v>
      </c>
      <c r="B81" s="136">
        <f>S17</f>
        <v>0.17552777777777778</v>
      </c>
      <c r="C81" s="9"/>
      <c r="D81" s="138">
        <f>S18</f>
        <v>0.44778409090909088</v>
      </c>
      <c r="E81" s="9"/>
      <c r="F81" s="136">
        <f>S19</f>
        <v>1.1093749999999998</v>
      </c>
      <c r="G81" s="9"/>
      <c r="H81" s="136">
        <f>S20</f>
        <v>0.35499999999999998</v>
      </c>
      <c r="I81" s="141"/>
      <c r="J81" s="142">
        <f t="shared" si="21"/>
        <v>2.0876868686868684</v>
      </c>
      <c r="K81" s="143"/>
      <c r="L81" s="173">
        <f t="shared" ref="L81:L87" si="22">100*B81/$J81</f>
        <v>8.4077636551013413</v>
      </c>
      <c r="M81" s="174">
        <f t="shared" ref="M81:M87" si="23">100*D81/$J81</f>
        <v>21.448814840261079</v>
      </c>
      <c r="N81" s="174">
        <f t="shared" ref="N81:N87" si="24">100*F81/$J81</f>
        <v>53.138955685331496</v>
      </c>
      <c r="O81" s="175">
        <f t="shared" ref="O81:O87" si="25">100*H81/$J81</f>
        <v>17.004465819306084</v>
      </c>
    </row>
    <row r="82" spans="1:15">
      <c r="A82" s="36">
        <v>125</v>
      </c>
      <c r="B82" s="136">
        <f>S21</f>
        <v>0.10858823529411765</v>
      </c>
      <c r="C82" s="9"/>
      <c r="D82" s="136">
        <f>S22</f>
        <v>0.44153124999999999</v>
      </c>
      <c r="E82" s="69"/>
      <c r="F82" s="7">
        <f>R23</f>
        <v>1.95</v>
      </c>
      <c r="G82" s="9"/>
      <c r="H82" s="136">
        <f>S24</f>
        <v>0.18091346153846155</v>
      </c>
      <c r="I82" s="141"/>
      <c r="J82" s="142">
        <f t="shared" si="21"/>
        <v>2.6810329468325791</v>
      </c>
      <c r="K82" s="143"/>
      <c r="L82" s="173">
        <f t="shared" si="22"/>
        <v>4.0502387493001812</v>
      </c>
      <c r="M82" s="174">
        <f t="shared" si="23"/>
        <v>16.468699145291481</v>
      </c>
      <c r="N82" s="174">
        <f t="shared" si="24"/>
        <v>72.733160638841284</v>
      </c>
      <c r="O82" s="175">
        <f t="shared" si="25"/>
        <v>6.7479014665670549</v>
      </c>
    </row>
    <row r="83" spans="1:15">
      <c r="A83" s="36">
        <v>175</v>
      </c>
      <c r="B83" s="136">
        <f>S41</f>
        <v>8.1598175182481761E-2</v>
      </c>
      <c r="C83" s="9"/>
      <c r="D83" s="136">
        <f>S42</f>
        <v>5.7204430379746832E-2</v>
      </c>
      <c r="E83" s="69"/>
      <c r="F83" s="7">
        <v>0.56000000000000005</v>
      </c>
      <c r="G83" s="9"/>
      <c r="H83" s="136">
        <f>S44</f>
        <v>0.12821601562499998</v>
      </c>
      <c r="I83" s="141"/>
      <c r="J83" s="142">
        <f t="shared" si="21"/>
        <v>0.82701862118722858</v>
      </c>
      <c r="K83" s="143"/>
      <c r="L83" s="173">
        <f t="shared" si="22"/>
        <v>9.8665463016229662</v>
      </c>
      <c r="M83" s="174">
        <f t="shared" si="23"/>
        <v>6.9169458721046544</v>
      </c>
      <c r="N83" s="174">
        <f t="shared" si="24"/>
        <v>67.713106531518079</v>
      </c>
      <c r="O83" s="175">
        <f t="shared" si="25"/>
        <v>15.503401294754303</v>
      </c>
    </row>
    <row r="84" spans="1:15">
      <c r="A84" s="36">
        <v>300</v>
      </c>
      <c r="B84" s="136">
        <f>S29</f>
        <v>4.7103559870550156E-2</v>
      </c>
      <c r="C84" s="9"/>
      <c r="D84" s="138">
        <f>S30</f>
        <v>8.6798020527859232E-2</v>
      </c>
      <c r="E84" s="9"/>
      <c r="F84" s="138">
        <f>S31</f>
        <v>0.19750000000000001</v>
      </c>
      <c r="G84" s="9"/>
      <c r="H84" s="138">
        <f>S32</f>
        <v>4.3874999999999997E-2</v>
      </c>
      <c r="I84" s="8"/>
      <c r="J84" s="142">
        <f t="shared" si="21"/>
        <v>0.37527658039840939</v>
      </c>
      <c r="K84" s="143"/>
      <c r="L84" s="173">
        <f t="shared" si="22"/>
        <v>12.551691827010105</v>
      </c>
      <c r="M84" s="174">
        <f t="shared" si="23"/>
        <v>23.129080006993991</v>
      </c>
      <c r="N84" s="174">
        <f t="shared" si="24"/>
        <v>52.627851114590122</v>
      </c>
      <c r="O84" s="175">
        <f t="shared" si="25"/>
        <v>11.691377051405778</v>
      </c>
    </row>
    <row r="85" spans="1:15">
      <c r="A85" s="36">
        <v>750</v>
      </c>
      <c r="B85" s="136">
        <f>S33</f>
        <v>1.6317861900532856E-2</v>
      </c>
      <c r="C85" s="9"/>
      <c r="D85" s="138">
        <f>S34</f>
        <v>7.0505535714285722E-3</v>
      </c>
      <c r="E85" s="9"/>
      <c r="F85" s="7">
        <v>0.04</v>
      </c>
      <c r="G85" s="9"/>
      <c r="H85" s="138">
        <f>S36</f>
        <v>9.9387321428571433E-3</v>
      </c>
      <c r="I85" s="8"/>
      <c r="J85" s="142">
        <f t="shared" si="21"/>
        <v>7.3307147614818574E-2</v>
      </c>
      <c r="K85" s="143"/>
      <c r="L85" s="173">
        <f t="shared" si="22"/>
        <v>22.259578269601509</v>
      </c>
      <c r="M85" s="174">
        <f t="shared" si="23"/>
        <v>9.6178255474822869</v>
      </c>
      <c r="N85" s="174">
        <f t="shared" si="24"/>
        <v>54.564938483453219</v>
      </c>
      <c r="O85" s="175">
        <f t="shared" si="25"/>
        <v>13.557657699462981</v>
      </c>
    </row>
    <row r="86" spans="1:15">
      <c r="A86" s="36">
        <v>2000</v>
      </c>
      <c r="B86" s="136">
        <f>S45</f>
        <v>3.397857142857143E-3</v>
      </c>
      <c r="C86" s="9"/>
      <c r="D86" s="138">
        <f>S46</f>
        <v>2.1099596774193551E-2</v>
      </c>
      <c r="E86" s="9"/>
      <c r="F86" s="7">
        <v>0.04</v>
      </c>
      <c r="G86" s="9"/>
      <c r="H86" s="136">
        <f>S48</f>
        <v>2.7637499999999997E-3</v>
      </c>
      <c r="I86" s="8"/>
      <c r="J86" s="142">
        <f t="shared" si="21"/>
        <v>6.7261203917050691E-2</v>
      </c>
      <c r="K86" s="143"/>
      <c r="L86" s="173">
        <f t="shared" si="22"/>
        <v>5.0517340531809714</v>
      </c>
      <c r="M86" s="174">
        <f t="shared" si="23"/>
        <v>31.369638878623775</v>
      </c>
      <c r="N86" s="174">
        <f t="shared" si="24"/>
        <v>59.469646200995243</v>
      </c>
      <c r="O86" s="175">
        <f t="shared" si="25"/>
        <v>4.1089808672000148</v>
      </c>
    </row>
    <row r="87" spans="1:15" ht="14" thickBot="1">
      <c r="A87" s="37">
        <v>4780</v>
      </c>
      <c r="B87" s="137">
        <f>S49</f>
        <v>3.8145754716981126E-3</v>
      </c>
      <c r="C87" s="14"/>
      <c r="D87" s="139">
        <f>S50</f>
        <v>1.8284718750000005E-2</v>
      </c>
      <c r="E87" s="14"/>
      <c r="F87" s="20">
        <v>0.06</v>
      </c>
      <c r="G87" s="14"/>
      <c r="H87" s="139">
        <f>S52</f>
        <v>1.1285739795918365E-2</v>
      </c>
      <c r="I87" s="13"/>
      <c r="J87" s="144">
        <f t="shared" si="21"/>
        <v>9.3385034017616483E-2</v>
      </c>
      <c r="K87" s="145"/>
      <c r="L87" s="176">
        <f t="shared" si="22"/>
        <v>4.0847824405980493</v>
      </c>
      <c r="M87" s="177">
        <f t="shared" si="23"/>
        <v>19.579924066366683</v>
      </c>
      <c r="N87" s="177">
        <f t="shared" si="24"/>
        <v>64.250123835347523</v>
      </c>
      <c r="O87" s="178">
        <f t="shared" si="25"/>
        <v>12.085169657687745</v>
      </c>
    </row>
    <row r="88" spans="1:15">
      <c r="K88" s="147" t="s">
        <v>214</v>
      </c>
      <c r="L88" s="148">
        <f>AVERAGE(L80:L87)</f>
        <v>9.5556698512737199</v>
      </c>
      <c r="M88" s="148">
        <f>AVERAGE(M80:M87)</f>
        <v>19.734965458177435</v>
      </c>
      <c r="N88" s="148">
        <f>AVERAGE(N80:N87)</f>
        <v>59.042509002322291</v>
      </c>
      <c r="O88" s="149">
        <f>AVERAGE(O80:O87)</f>
        <v>11.666855688226551</v>
      </c>
    </row>
    <row r="89" spans="1:15" ht="14" thickBot="1">
      <c r="K89" s="150" t="s">
        <v>209</v>
      </c>
      <c r="L89" s="151">
        <f>STDEV(L80:L87)</f>
        <v>6.0081695986115395</v>
      </c>
      <c r="M89" s="151">
        <f>STDEV(M80:M87)</f>
        <v>8.6155948538832252</v>
      </c>
      <c r="N89" s="151">
        <f>STDEV(N80:N87)</f>
        <v>8.5474159317961007</v>
      </c>
      <c r="O89" s="152">
        <f>STDEV(O80:O87)</f>
        <v>4.2964519807719617</v>
      </c>
    </row>
    <row r="93" spans="1:15">
      <c r="B93" s="1"/>
    </row>
  </sheetData>
  <mergeCells count="13">
    <mergeCell ref="Y6:Z6"/>
    <mergeCell ref="J78:K78"/>
    <mergeCell ref="I11:R11"/>
    <mergeCell ref="F11:H11"/>
    <mergeCell ref="F10:H10"/>
    <mergeCell ref="C2:G2"/>
    <mergeCell ref="C3:G3"/>
    <mergeCell ref="C4:G4"/>
    <mergeCell ref="C5:G5"/>
    <mergeCell ref="C6:G6"/>
    <mergeCell ref="C7:G7"/>
    <mergeCell ref="C8:G8"/>
    <mergeCell ref="S11:Z11"/>
  </mergeCells>
  <pageMargins left="0.75" right="0.75" top="1" bottom="1" header="0.5" footer="0.5"/>
  <pageSetup orientation="portrait" horizontalDpi="4294967292" verticalDpi="4294967292"/>
  <legacy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41" sqref="B41"/>
    </sheetView>
  </sheetViews>
  <sheetFormatPr baseColWidth="10" defaultRowHeight="13" x14ac:dyDescent="0"/>
  <sheetData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I23" sqref="I23"/>
    </sheetView>
  </sheetViews>
  <sheetFormatPr baseColWidth="10" defaultRowHeight="13" x14ac:dyDescent="0"/>
  <sheetData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3" x14ac:dyDescent="0"/>
  <sheetData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D17" sqref="D17"/>
    </sheetView>
  </sheetViews>
  <sheetFormatPr baseColWidth="10" defaultRowHeight="13" x14ac:dyDescent="0"/>
  <sheetData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7" sqref="B7"/>
    </sheetView>
  </sheetViews>
  <sheetFormatPr baseColWidth="10" defaultRowHeight="13" x14ac:dyDescent="0"/>
  <sheetData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J25"/>
  <sheetViews>
    <sheetView workbookViewId="0">
      <selection activeCell="J27" sqref="J27"/>
    </sheetView>
  </sheetViews>
  <sheetFormatPr baseColWidth="10" defaultRowHeight="13" x14ac:dyDescent="0"/>
  <sheetData>
    <row r="25" spans="10:10">
      <c r="J25" s="50"/>
    </row>
  </sheetData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51"/>
  <sheetViews>
    <sheetView topLeftCell="A30" workbookViewId="0">
      <selection sqref="A1:C1"/>
    </sheetView>
  </sheetViews>
  <sheetFormatPr baseColWidth="10" defaultRowHeight="13" x14ac:dyDescent="0"/>
  <cols>
    <col min="1" max="1" width="11.5703125" style="3" customWidth="1"/>
    <col min="2" max="2" width="8" customWidth="1"/>
    <col min="3" max="3" width="9.5703125" customWidth="1"/>
  </cols>
  <sheetData>
    <row r="1" spans="1:3" ht="113" customHeight="1">
      <c r="A1" s="99" t="s">
        <v>204</v>
      </c>
      <c r="B1" s="99"/>
      <c r="C1" s="99"/>
    </row>
    <row r="2" spans="1:3" ht="41" customHeight="1">
      <c r="A2" s="46"/>
      <c r="B2" s="100" t="s">
        <v>203</v>
      </c>
      <c r="C2" s="101"/>
    </row>
    <row r="3" spans="1:3" ht="31" customHeight="1">
      <c r="A3" s="60" t="s">
        <v>52</v>
      </c>
      <c r="B3" s="60" t="s">
        <v>53</v>
      </c>
      <c r="C3" s="61" t="s">
        <v>53</v>
      </c>
    </row>
    <row r="4" spans="1:3" ht="29" customHeight="1">
      <c r="A4" s="47">
        <v>1</v>
      </c>
      <c r="B4" s="48" t="s">
        <v>54</v>
      </c>
      <c r="C4" s="48" t="s">
        <v>55</v>
      </c>
    </row>
    <row r="5" spans="1:3" ht="29" customHeight="1">
      <c r="A5" s="42">
        <v>2</v>
      </c>
      <c r="B5" s="43" t="s">
        <v>56</v>
      </c>
      <c r="C5" s="43" t="s">
        <v>57</v>
      </c>
    </row>
    <row r="6" spans="1:3" ht="29" customHeight="1">
      <c r="A6" s="42">
        <v>3</v>
      </c>
      <c r="B6" s="43" t="s">
        <v>58</v>
      </c>
      <c r="C6" s="43" t="s">
        <v>59</v>
      </c>
    </row>
    <row r="7" spans="1:3" ht="29" customHeight="1">
      <c r="A7" s="42">
        <v>4</v>
      </c>
      <c r="B7" s="43" t="s">
        <v>60</v>
      </c>
      <c r="C7" s="43" t="s">
        <v>61</v>
      </c>
    </row>
    <row r="8" spans="1:3" ht="29" customHeight="1">
      <c r="A8" s="42">
        <v>5</v>
      </c>
      <c r="B8" s="43" t="s">
        <v>62</v>
      </c>
      <c r="C8" s="43" t="s">
        <v>63</v>
      </c>
    </row>
    <row r="9" spans="1:3" ht="29" customHeight="1">
      <c r="A9" s="42">
        <v>6</v>
      </c>
      <c r="B9" s="43" t="s">
        <v>64</v>
      </c>
      <c r="C9" s="43" t="s">
        <v>65</v>
      </c>
    </row>
    <row r="10" spans="1:3" ht="29" customHeight="1">
      <c r="A10" s="42">
        <v>7</v>
      </c>
      <c r="B10" s="43" t="s">
        <v>66</v>
      </c>
      <c r="C10" s="43" t="s">
        <v>67</v>
      </c>
    </row>
    <row r="11" spans="1:3" ht="29" customHeight="1">
      <c r="A11" s="42">
        <v>8</v>
      </c>
      <c r="B11" s="43" t="s">
        <v>68</v>
      </c>
      <c r="C11" s="43" t="s">
        <v>69</v>
      </c>
    </row>
    <row r="12" spans="1:3" ht="29" customHeight="1">
      <c r="A12" s="42">
        <v>9</v>
      </c>
      <c r="B12" s="43" t="s">
        <v>70</v>
      </c>
      <c r="C12" s="43" t="s">
        <v>71</v>
      </c>
    </row>
    <row r="13" spans="1:3" ht="29" customHeight="1">
      <c r="A13" s="42">
        <v>10</v>
      </c>
      <c r="B13" s="43" t="s">
        <v>72</v>
      </c>
      <c r="C13" s="43" t="s">
        <v>73</v>
      </c>
    </row>
    <row r="14" spans="1:3" ht="29" customHeight="1">
      <c r="A14" s="42">
        <v>11</v>
      </c>
      <c r="B14" s="43" t="s">
        <v>74</v>
      </c>
      <c r="C14" s="43" t="s">
        <v>75</v>
      </c>
    </row>
    <row r="15" spans="1:3" ht="29" customHeight="1">
      <c r="A15" s="42">
        <v>12</v>
      </c>
      <c r="B15" s="43" t="s">
        <v>76</v>
      </c>
      <c r="C15" s="43" t="s">
        <v>77</v>
      </c>
    </row>
    <row r="16" spans="1:3" ht="29" customHeight="1">
      <c r="A16" s="42">
        <v>13</v>
      </c>
      <c r="B16" s="43" t="s">
        <v>78</v>
      </c>
      <c r="C16" s="44" t="s">
        <v>79</v>
      </c>
    </row>
    <row r="17" spans="1:3" ht="29" customHeight="1">
      <c r="A17" s="42">
        <v>14</v>
      </c>
      <c r="B17" s="43" t="s">
        <v>80</v>
      </c>
      <c r="C17" s="43" t="s">
        <v>81</v>
      </c>
    </row>
    <row r="18" spans="1:3" ht="29" customHeight="1">
      <c r="A18" s="42">
        <v>15</v>
      </c>
      <c r="B18" s="43" t="s">
        <v>82</v>
      </c>
      <c r="C18" s="43" t="s">
        <v>83</v>
      </c>
    </row>
    <row r="19" spans="1:3" ht="29" customHeight="1">
      <c r="A19" s="42">
        <v>16</v>
      </c>
      <c r="B19" s="43" t="s">
        <v>84</v>
      </c>
      <c r="C19" s="43" t="s">
        <v>141</v>
      </c>
    </row>
    <row r="20" spans="1:3" ht="29" customHeight="1">
      <c r="A20" s="42">
        <v>17</v>
      </c>
      <c r="B20" s="43" t="s">
        <v>85</v>
      </c>
      <c r="C20" s="43" t="s">
        <v>86</v>
      </c>
    </row>
    <row r="21" spans="1:3" ht="29" customHeight="1">
      <c r="A21" s="42">
        <v>18</v>
      </c>
      <c r="B21" s="43" t="s">
        <v>87</v>
      </c>
      <c r="C21" s="43" t="s">
        <v>88</v>
      </c>
    </row>
    <row r="22" spans="1:3" ht="29" customHeight="1">
      <c r="A22" s="42">
        <v>19</v>
      </c>
      <c r="B22" s="43" t="s">
        <v>89</v>
      </c>
      <c r="C22" s="43" t="s">
        <v>90</v>
      </c>
    </row>
    <row r="23" spans="1:3" ht="29" customHeight="1">
      <c r="A23" s="42">
        <v>20</v>
      </c>
      <c r="B23" s="43" t="s">
        <v>91</v>
      </c>
      <c r="C23" s="43" t="s">
        <v>92</v>
      </c>
    </row>
    <row r="24" spans="1:3" ht="29" customHeight="1">
      <c r="A24" s="42">
        <v>21</v>
      </c>
      <c r="B24" s="43" t="s">
        <v>93</v>
      </c>
      <c r="C24" s="43" t="s">
        <v>154</v>
      </c>
    </row>
    <row r="25" spans="1:3" ht="29" customHeight="1">
      <c r="A25" s="42">
        <v>22</v>
      </c>
      <c r="B25" s="43" t="s">
        <v>94</v>
      </c>
      <c r="C25" s="43" t="s">
        <v>95</v>
      </c>
    </row>
    <row r="26" spans="1:3" ht="29" customHeight="1">
      <c r="A26" s="42">
        <v>23</v>
      </c>
      <c r="B26" s="43" t="s">
        <v>96</v>
      </c>
      <c r="C26" s="43" t="s">
        <v>97</v>
      </c>
    </row>
    <row r="27" spans="1:3" ht="29" customHeight="1">
      <c r="A27" s="42">
        <v>24</v>
      </c>
      <c r="B27" s="43" t="s">
        <v>98</v>
      </c>
      <c r="C27" s="43" t="s">
        <v>99</v>
      </c>
    </row>
    <row r="28" spans="1:3" ht="29" customHeight="1">
      <c r="A28" s="42">
        <v>29</v>
      </c>
      <c r="B28" s="43" t="s">
        <v>100</v>
      </c>
      <c r="C28" s="43" t="s">
        <v>101</v>
      </c>
    </row>
    <row r="29" spans="1:3" ht="29" customHeight="1">
      <c r="A29" s="42">
        <v>30</v>
      </c>
      <c r="B29" s="43" t="s">
        <v>102</v>
      </c>
      <c r="C29" s="43" t="s">
        <v>103</v>
      </c>
    </row>
    <row r="30" spans="1:3" ht="29" customHeight="1">
      <c r="A30" s="42">
        <v>31</v>
      </c>
      <c r="B30" s="43" t="s">
        <v>104</v>
      </c>
      <c r="C30" s="43" t="s">
        <v>105</v>
      </c>
    </row>
    <row r="31" spans="1:3" ht="29" customHeight="1">
      <c r="A31" s="42">
        <v>32</v>
      </c>
      <c r="B31" s="43" t="s">
        <v>106</v>
      </c>
      <c r="C31" s="43" t="s">
        <v>107</v>
      </c>
    </row>
    <row r="32" spans="1:3" ht="29" customHeight="1">
      <c r="A32" s="42">
        <v>33</v>
      </c>
      <c r="B32" s="43" t="s">
        <v>108</v>
      </c>
      <c r="C32" s="43" t="s">
        <v>109</v>
      </c>
    </row>
    <row r="33" spans="1:3" ht="29" customHeight="1">
      <c r="A33" s="42">
        <v>34</v>
      </c>
      <c r="B33" s="43" t="s">
        <v>110</v>
      </c>
      <c r="C33" s="43" t="s">
        <v>111</v>
      </c>
    </row>
    <row r="34" spans="1:3" ht="29" customHeight="1">
      <c r="A34" s="42">
        <v>35</v>
      </c>
      <c r="B34" s="43" t="s">
        <v>112</v>
      </c>
      <c r="C34" s="43" t="s">
        <v>113</v>
      </c>
    </row>
    <row r="35" spans="1:3" ht="29" customHeight="1">
      <c r="A35" s="42">
        <v>36</v>
      </c>
      <c r="B35" s="43" t="s">
        <v>114</v>
      </c>
      <c r="C35" s="43" t="s">
        <v>115</v>
      </c>
    </row>
    <row r="36" spans="1:3" ht="29" customHeight="1">
      <c r="A36" s="42">
        <v>37</v>
      </c>
      <c r="B36" s="43" t="s">
        <v>116</v>
      </c>
      <c r="C36" s="43" t="s">
        <v>117</v>
      </c>
    </row>
    <row r="37" spans="1:3" ht="29" customHeight="1">
      <c r="A37" s="42">
        <v>38</v>
      </c>
      <c r="B37" s="43" t="s">
        <v>118</v>
      </c>
      <c r="C37" s="43" t="s">
        <v>119</v>
      </c>
    </row>
    <row r="38" spans="1:3" ht="29" customHeight="1">
      <c r="A38" s="42">
        <v>39</v>
      </c>
      <c r="B38" s="43" t="s">
        <v>155</v>
      </c>
      <c r="C38" s="43" t="s">
        <v>120</v>
      </c>
    </row>
    <row r="39" spans="1:3" ht="29" customHeight="1">
      <c r="A39" s="42">
        <v>40</v>
      </c>
      <c r="B39" s="43" t="s">
        <v>121</v>
      </c>
      <c r="C39" s="43" t="s">
        <v>122</v>
      </c>
    </row>
    <row r="40" spans="1:3" ht="27" customHeight="1">
      <c r="A40" s="42">
        <v>41</v>
      </c>
      <c r="B40" s="43" t="s">
        <v>123</v>
      </c>
      <c r="C40" s="43" t="s">
        <v>124</v>
      </c>
    </row>
    <row r="41" spans="1:3" ht="27" customHeight="1">
      <c r="A41" s="42">
        <v>42</v>
      </c>
      <c r="B41" s="43" t="s">
        <v>125</v>
      </c>
      <c r="C41" s="43" t="s">
        <v>126</v>
      </c>
    </row>
    <row r="42" spans="1:3" ht="27" customHeight="1">
      <c r="A42" s="42">
        <v>43</v>
      </c>
      <c r="B42" s="43" t="s">
        <v>127</v>
      </c>
      <c r="C42" s="43" t="s">
        <v>128</v>
      </c>
    </row>
    <row r="43" spans="1:3" ht="27" customHeight="1">
      <c r="A43" s="42">
        <v>44</v>
      </c>
      <c r="B43" s="43" t="s">
        <v>129</v>
      </c>
      <c r="C43" s="43" t="s">
        <v>130</v>
      </c>
    </row>
    <row r="44" spans="1:3" s="4" customFormat="1" ht="27" customHeight="1">
      <c r="A44" s="45">
        <v>47</v>
      </c>
      <c r="B44" s="62" t="s">
        <v>200</v>
      </c>
      <c r="C44" s="62"/>
    </row>
    <row r="45" spans="1:3" ht="27" customHeight="1">
      <c r="A45" s="42">
        <v>49</v>
      </c>
      <c r="B45" s="43" t="s">
        <v>131</v>
      </c>
      <c r="C45" s="43" t="s">
        <v>132</v>
      </c>
    </row>
    <row r="46" spans="1:3" ht="27" customHeight="1">
      <c r="A46" s="42">
        <v>50</v>
      </c>
      <c r="B46" s="43" t="s">
        <v>133</v>
      </c>
      <c r="C46" s="43" t="s">
        <v>134</v>
      </c>
    </row>
    <row r="47" spans="1:3" ht="27" customHeight="1">
      <c r="A47" s="42">
        <v>51</v>
      </c>
      <c r="B47" s="43" t="s">
        <v>135</v>
      </c>
      <c r="C47" s="43" t="s">
        <v>136</v>
      </c>
    </row>
    <row r="48" spans="1:3" ht="27" customHeight="1">
      <c r="A48" s="42">
        <v>54</v>
      </c>
      <c r="B48" s="43" t="s">
        <v>137</v>
      </c>
      <c r="C48" s="43" t="s">
        <v>138</v>
      </c>
    </row>
    <row r="49" spans="1:3" ht="27" customHeight="1">
      <c r="A49" s="42">
        <v>55</v>
      </c>
      <c r="B49" s="43" t="s">
        <v>139</v>
      </c>
      <c r="C49" s="43" t="s">
        <v>140</v>
      </c>
    </row>
    <row r="50" spans="1:3" ht="27" customHeight="1">
      <c r="A50" s="45">
        <v>60</v>
      </c>
      <c r="B50" s="62" t="s">
        <v>201</v>
      </c>
      <c r="C50" s="62"/>
    </row>
    <row r="51" spans="1:3" ht="27" customHeight="1">
      <c r="A51" s="45">
        <v>61</v>
      </c>
      <c r="B51" s="62" t="s">
        <v>202</v>
      </c>
      <c r="C51" s="62"/>
    </row>
  </sheetData>
  <mergeCells count="2">
    <mergeCell ref="A1:C1"/>
    <mergeCell ref="B2:C2"/>
  </mergeCells>
  <phoneticPr fontId="10" type="noConversion"/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Sample Info</vt:lpstr>
      <vt:lpstr>Gel 1</vt:lpstr>
      <vt:lpstr>Gel 2</vt:lpstr>
      <vt:lpstr>Gel 3</vt:lpstr>
      <vt:lpstr>Gel 4</vt:lpstr>
      <vt:lpstr>Gel 5</vt:lpstr>
      <vt:lpstr>Gel 6</vt:lpstr>
      <vt:lpstr>Amplicons Pooled</vt:lpstr>
    </vt:vector>
  </TitlesOfParts>
  <Company>University of Hawaii at Manoa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Grieg Steward</dc:creator>
  <cp:lastModifiedBy>Grieg Steward</cp:lastModifiedBy>
  <cp:lastPrinted>2015-06-16T23:31:59Z</cp:lastPrinted>
  <dcterms:created xsi:type="dcterms:W3CDTF">2014-06-18T18:58:59Z</dcterms:created>
  <dcterms:modified xsi:type="dcterms:W3CDTF">2015-06-24T20:31:33Z</dcterms:modified>
</cp:coreProperties>
</file>