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516"/>
  <workbookPr autoCompressPictures="0"/>
  <bookViews>
    <workbookView xWindow="33940" yWindow="340" windowWidth="26380" windowHeight="13480"/>
  </bookViews>
  <sheets>
    <sheet name="04.28.17" sheetId="12" r:id="rId1"/>
    <sheet name="Summary" sheetId="7" r:id="rId2"/>
    <sheet name="PIC composition" sheetId="17" r:id="rId3"/>
    <sheet name="AL19 FLUX" sheetId="15" r:id="rId4"/>
    <sheet name="AL1 FLUX" sheetId="16" r:id="rId5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I20" i="15" l="1"/>
  <c r="I21" i="15"/>
  <c r="I22" i="15"/>
  <c r="I26" i="15"/>
  <c r="I25" i="15"/>
  <c r="I28" i="15"/>
  <c r="I27" i="15"/>
  <c r="I9" i="15"/>
  <c r="I10" i="15"/>
  <c r="I11" i="15"/>
  <c r="I14" i="15"/>
  <c r="I13" i="15"/>
  <c r="I16" i="15"/>
  <c r="I15" i="15"/>
  <c r="AP34" i="16"/>
  <c r="L21" i="17"/>
  <c r="K21" i="17"/>
  <c r="J21" i="17"/>
  <c r="K19" i="17"/>
  <c r="J19" i="17"/>
  <c r="L19" i="17"/>
  <c r="K16" i="17"/>
  <c r="J16" i="17"/>
  <c r="L16" i="17"/>
  <c r="I8" i="17"/>
  <c r="I9" i="17"/>
  <c r="I10" i="17"/>
  <c r="K10" i="17"/>
  <c r="J10" i="17"/>
  <c r="L10" i="17"/>
  <c r="E5" i="7"/>
  <c r="E6" i="7"/>
  <c r="K27" i="12"/>
  <c r="C7" i="7"/>
  <c r="D7" i="7"/>
  <c r="E7" i="7"/>
  <c r="K28" i="12"/>
  <c r="C8" i="7"/>
  <c r="D8" i="7"/>
  <c r="E8" i="7"/>
  <c r="K29" i="12"/>
  <c r="C9" i="7"/>
  <c r="D9" i="7"/>
  <c r="E9" i="7"/>
  <c r="E10" i="7"/>
  <c r="E11" i="7"/>
  <c r="E12" i="7"/>
  <c r="E13" i="7"/>
  <c r="E14" i="7"/>
  <c r="E15" i="7"/>
  <c r="E16" i="7"/>
  <c r="E17" i="7"/>
  <c r="E26" i="7"/>
  <c r="E27" i="7"/>
  <c r="E28" i="7"/>
  <c r="E29" i="7"/>
  <c r="E4" i="7"/>
  <c r="C20" i="17"/>
  <c r="C17" i="17"/>
  <c r="C14" i="17"/>
  <c r="C11" i="17"/>
  <c r="C8" i="17"/>
  <c r="I20" i="17"/>
  <c r="I21" i="17"/>
  <c r="F21" i="17"/>
  <c r="G21" i="17"/>
  <c r="H21" i="17"/>
  <c r="F20" i="17"/>
  <c r="G20" i="17"/>
  <c r="H20" i="17"/>
  <c r="I17" i="17"/>
  <c r="I18" i="17"/>
  <c r="I19" i="17"/>
  <c r="F19" i="17"/>
  <c r="G19" i="17"/>
  <c r="H19" i="17"/>
  <c r="F18" i="17"/>
  <c r="G18" i="17"/>
  <c r="H18" i="17"/>
  <c r="F17" i="17"/>
  <c r="G17" i="17"/>
  <c r="H17" i="17"/>
  <c r="I15" i="17"/>
  <c r="I16" i="17"/>
  <c r="F16" i="17"/>
  <c r="G16" i="17"/>
  <c r="H16" i="17"/>
  <c r="F15" i="17"/>
  <c r="G15" i="17"/>
  <c r="H15" i="17"/>
  <c r="I14" i="17"/>
  <c r="F14" i="17"/>
  <c r="G14" i="17"/>
  <c r="H14" i="17"/>
  <c r="I11" i="17"/>
  <c r="I12" i="17"/>
  <c r="I13" i="17"/>
  <c r="K13" i="17"/>
  <c r="J13" i="17"/>
  <c r="L13" i="17"/>
  <c r="F13" i="17"/>
  <c r="G13" i="17"/>
  <c r="H13" i="17"/>
  <c r="F12" i="17"/>
  <c r="G12" i="17"/>
  <c r="H12" i="17"/>
  <c r="F11" i="17"/>
  <c r="G11" i="17"/>
  <c r="H11" i="17"/>
  <c r="F10" i="17"/>
  <c r="G10" i="17"/>
  <c r="H10" i="17"/>
  <c r="F9" i="17"/>
  <c r="G9" i="17"/>
  <c r="H9" i="17"/>
  <c r="F8" i="17"/>
  <c r="G8" i="17"/>
  <c r="H8" i="17"/>
  <c r="B27" i="7"/>
  <c r="F27" i="7"/>
  <c r="B28" i="7"/>
  <c r="F28" i="7"/>
  <c r="B29" i="7"/>
  <c r="F29" i="7"/>
  <c r="B26" i="7"/>
  <c r="F26" i="7"/>
  <c r="C26" i="7"/>
  <c r="D26" i="7"/>
  <c r="J26" i="7"/>
  <c r="C27" i="7"/>
  <c r="D27" i="7"/>
  <c r="J27" i="7"/>
  <c r="C28" i="7"/>
  <c r="D28" i="7"/>
  <c r="J28" i="7"/>
  <c r="C29" i="7"/>
  <c r="D29" i="7"/>
  <c r="J29" i="7"/>
  <c r="L29" i="7"/>
  <c r="K29" i="7"/>
  <c r="M29" i="7"/>
  <c r="C17" i="7"/>
  <c r="D17" i="7"/>
  <c r="B17" i="7"/>
  <c r="F17" i="7"/>
  <c r="G17" i="7"/>
  <c r="L17" i="7"/>
  <c r="N17" i="7"/>
  <c r="C16" i="7"/>
  <c r="D16" i="7"/>
  <c r="B16" i="7"/>
  <c r="F16" i="7"/>
  <c r="G16" i="7"/>
  <c r="L16" i="7"/>
  <c r="N16" i="7"/>
  <c r="P17" i="7"/>
  <c r="O17" i="7"/>
  <c r="Q17" i="7"/>
  <c r="C13" i="7"/>
  <c r="D13" i="7"/>
  <c r="B13" i="7"/>
  <c r="F13" i="7"/>
  <c r="G13" i="7"/>
  <c r="L13" i="7"/>
  <c r="N13" i="7"/>
  <c r="C14" i="7"/>
  <c r="D14" i="7"/>
  <c r="B14" i="7"/>
  <c r="F14" i="7"/>
  <c r="G14" i="7"/>
  <c r="L14" i="7"/>
  <c r="N14" i="7"/>
  <c r="C15" i="7"/>
  <c r="D15" i="7"/>
  <c r="B15" i="7"/>
  <c r="F15" i="7"/>
  <c r="G15" i="7"/>
  <c r="L15" i="7"/>
  <c r="N15" i="7"/>
  <c r="P15" i="7"/>
  <c r="O15" i="7"/>
  <c r="Q15" i="7"/>
  <c r="C10" i="7"/>
  <c r="D10" i="7"/>
  <c r="B10" i="7"/>
  <c r="F10" i="7"/>
  <c r="G10" i="7"/>
  <c r="L10" i="7"/>
  <c r="N10" i="7"/>
  <c r="C11" i="7"/>
  <c r="D11" i="7"/>
  <c r="B11" i="7"/>
  <c r="F11" i="7"/>
  <c r="G11" i="7"/>
  <c r="L11" i="7"/>
  <c r="N11" i="7"/>
  <c r="C12" i="7"/>
  <c r="D12" i="7"/>
  <c r="B12" i="7"/>
  <c r="F12" i="7"/>
  <c r="G12" i="7"/>
  <c r="L12" i="7"/>
  <c r="N12" i="7"/>
  <c r="P12" i="7"/>
  <c r="O12" i="7"/>
  <c r="Q12" i="7"/>
  <c r="B7" i="7"/>
  <c r="F7" i="7"/>
  <c r="G7" i="7"/>
  <c r="L7" i="7"/>
  <c r="N7" i="7"/>
  <c r="B8" i="7"/>
  <c r="F8" i="7"/>
  <c r="G8" i="7"/>
  <c r="L8" i="7"/>
  <c r="N8" i="7"/>
  <c r="B9" i="7"/>
  <c r="F9" i="7"/>
  <c r="G9" i="7"/>
  <c r="L9" i="7"/>
  <c r="N9" i="7"/>
  <c r="P9" i="7"/>
  <c r="O9" i="7"/>
  <c r="Q9" i="7"/>
  <c r="C4" i="7"/>
  <c r="D4" i="7"/>
  <c r="B4" i="7"/>
  <c r="F4" i="7"/>
  <c r="G4" i="7"/>
  <c r="L4" i="7"/>
  <c r="N4" i="7"/>
  <c r="C5" i="7"/>
  <c r="D5" i="7"/>
  <c r="B5" i="7"/>
  <c r="F5" i="7"/>
  <c r="G5" i="7"/>
  <c r="L5" i="7"/>
  <c r="N5" i="7"/>
  <c r="C6" i="7"/>
  <c r="D6" i="7"/>
  <c r="B6" i="7"/>
  <c r="F6" i="7"/>
  <c r="G6" i="7"/>
  <c r="L6" i="7"/>
  <c r="N6" i="7"/>
  <c r="P6" i="7"/>
  <c r="O6" i="7"/>
  <c r="Q6" i="7"/>
  <c r="K11" i="7"/>
  <c r="K12" i="7"/>
  <c r="K13" i="7"/>
  <c r="K14" i="7"/>
  <c r="K15" i="7"/>
  <c r="K16" i="7"/>
  <c r="K17" i="7"/>
  <c r="K10" i="7"/>
  <c r="K5" i="7"/>
  <c r="K6" i="7"/>
  <c r="K7" i="7"/>
  <c r="K8" i="7"/>
  <c r="K9" i="7"/>
  <c r="K4" i="7"/>
  <c r="A28" i="7"/>
  <c r="A29" i="7"/>
  <c r="A17" i="7"/>
  <c r="A26" i="7"/>
  <c r="A27" i="7"/>
  <c r="A5" i="7"/>
  <c r="A6" i="7"/>
  <c r="A7" i="7"/>
  <c r="A8" i="7"/>
  <c r="A9" i="7"/>
  <c r="A10" i="7"/>
  <c r="A11" i="7"/>
  <c r="A12" i="7"/>
  <c r="A13" i="7"/>
  <c r="A14" i="7"/>
  <c r="A15" i="7"/>
  <c r="A16" i="7"/>
  <c r="AO32" i="16"/>
  <c r="AP32" i="16"/>
  <c r="AQ32" i="16"/>
  <c r="AO33" i="16"/>
  <c r="AP33" i="16"/>
  <c r="AQ33" i="16"/>
  <c r="AO34" i="16"/>
  <c r="AQ34" i="16"/>
  <c r="AQ38" i="16"/>
  <c r="AQ37" i="16"/>
  <c r="AQ40" i="16"/>
  <c r="AQ39" i="16"/>
  <c r="AO22" i="16"/>
  <c r="AP22" i="16"/>
  <c r="AQ22" i="16"/>
  <c r="AO21" i="16"/>
  <c r="AP21" i="16"/>
  <c r="AQ21" i="16"/>
  <c r="AO20" i="16"/>
  <c r="AP20" i="16"/>
  <c r="AQ20" i="16"/>
  <c r="AO11" i="16"/>
  <c r="AP11" i="16"/>
  <c r="AQ11" i="16"/>
  <c r="AO10" i="16"/>
  <c r="AP10" i="16"/>
  <c r="AQ10" i="16"/>
  <c r="AO9" i="16"/>
  <c r="AP9" i="16"/>
  <c r="AQ9" i="16"/>
  <c r="AQ26" i="16"/>
  <c r="AQ25" i="16"/>
  <c r="AQ28" i="16"/>
  <c r="AQ27" i="16"/>
  <c r="AQ14" i="16"/>
  <c r="AQ13" i="16"/>
  <c r="AQ16" i="16"/>
  <c r="AQ15" i="16"/>
  <c r="E18" i="15"/>
  <c r="E7" i="15"/>
  <c r="AI33" i="16"/>
  <c r="AJ33" i="16"/>
  <c r="AK33" i="16"/>
  <c r="AI32" i="16"/>
  <c r="AJ32" i="16"/>
  <c r="AK32" i="16"/>
  <c r="AK38" i="16"/>
  <c r="AI22" i="16"/>
  <c r="AJ22" i="16"/>
  <c r="AK22" i="16"/>
  <c r="AI21" i="16"/>
  <c r="AJ21" i="16"/>
  <c r="AK21" i="16"/>
  <c r="AI20" i="16"/>
  <c r="AJ20" i="16"/>
  <c r="AK20" i="16"/>
  <c r="AI11" i="16"/>
  <c r="AJ11" i="16"/>
  <c r="AK11" i="16"/>
  <c r="AI10" i="16"/>
  <c r="AJ10" i="16"/>
  <c r="AK10" i="16"/>
  <c r="AI9" i="16"/>
  <c r="AJ9" i="16"/>
  <c r="AK9" i="16"/>
  <c r="AK37" i="16"/>
  <c r="AK40" i="16"/>
  <c r="N32" i="16"/>
  <c r="U32" i="16"/>
  <c r="Z32" i="16"/>
  <c r="N33" i="16"/>
  <c r="U33" i="16"/>
  <c r="Z33" i="16"/>
  <c r="N34" i="16"/>
  <c r="U34" i="16"/>
  <c r="Z34" i="16"/>
  <c r="Z38" i="16"/>
  <c r="Z37" i="16"/>
  <c r="Z40" i="16"/>
  <c r="Y32" i="16"/>
  <c r="Y33" i="16"/>
  <c r="Y34" i="16"/>
  <c r="Y38" i="16"/>
  <c r="Y37" i="16"/>
  <c r="Y40" i="16"/>
  <c r="E30" i="16"/>
  <c r="V32" i="16"/>
  <c r="W32" i="16"/>
  <c r="V33" i="16"/>
  <c r="W33" i="16"/>
  <c r="V34" i="16"/>
  <c r="W34" i="16"/>
  <c r="W38" i="16"/>
  <c r="W37" i="16"/>
  <c r="W40" i="16"/>
  <c r="H32" i="16"/>
  <c r="R32" i="16"/>
  <c r="H33" i="16"/>
  <c r="R33" i="16"/>
  <c r="H34" i="16"/>
  <c r="R34" i="16"/>
  <c r="R38" i="16"/>
  <c r="R37" i="16"/>
  <c r="R40" i="16"/>
  <c r="O32" i="16"/>
  <c r="P32" i="16"/>
  <c r="O33" i="16"/>
  <c r="P33" i="16"/>
  <c r="O34" i="16"/>
  <c r="P34" i="16"/>
  <c r="P38" i="16"/>
  <c r="P37" i="16"/>
  <c r="P40" i="16"/>
  <c r="I32" i="16"/>
  <c r="J32" i="16"/>
  <c r="I33" i="16"/>
  <c r="J33" i="16"/>
  <c r="I34" i="16"/>
  <c r="J34" i="16"/>
  <c r="J38" i="16"/>
  <c r="J37" i="16"/>
  <c r="J40" i="16"/>
  <c r="AK39" i="16"/>
  <c r="Z39" i="16"/>
  <c r="Y39" i="16"/>
  <c r="W39" i="16"/>
  <c r="R39" i="16"/>
  <c r="P39" i="16"/>
  <c r="J39" i="16"/>
  <c r="AC32" i="16"/>
  <c r="AD32" i="16"/>
  <c r="AE32" i="16"/>
  <c r="AC33" i="16"/>
  <c r="AD33" i="16"/>
  <c r="AE33" i="16"/>
  <c r="AC34" i="16"/>
  <c r="AD34" i="16"/>
  <c r="AE34" i="16"/>
  <c r="AE37" i="16"/>
  <c r="AE36" i="16"/>
  <c r="AE38" i="16"/>
  <c r="AB37" i="16"/>
  <c r="AB36" i="16"/>
  <c r="AB38" i="16"/>
  <c r="AK26" i="16"/>
  <c r="AK25" i="16"/>
  <c r="AK28" i="16"/>
  <c r="N20" i="16"/>
  <c r="U20" i="16"/>
  <c r="Z20" i="16"/>
  <c r="N21" i="16"/>
  <c r="U21" i="16"/>
  <c r="Z21" i="16"/>
  <c r="N22" i="16"/>
  <c r="U22" i="16"/>
  <c r="Z22" i="16"/>
  <c r="Z26" i="16"/>
  <c r="Z25" i="16"/>
  <c r="Z28" i="16"/>
  <c r="Y20" i="16"/>
  <c r="Y21" i="16"/>
  <c r="Y22" i="16"/>
  <c r="Y26" i="16"/>
  <c r="Y25" i="16"/>
  <c r="Y28" i="16"/>
  <c r="E18" i="16"/>
  <c r="V20" i="16"/>
  <c r="W20" i="16"/>
  <c r="V21" i="16"/>
  <c r="W21" i="16"/>
  <c r="V22" i="16"/>
  <c r="W22" i="16"/>
  <c r="W26" i="16"/>
  <c r="W25" i="16"/>
  <c r="W28" i="16"/>
  <c r="H20" i="16"/>
  <c r="R20" i="16"/>
  <c r="H21" i="16"/>
  <c r="R21" i="16"/>
  <c r="H22" i="16"/>
  <c r="R22" i="16"/>
  <c r="R26" i="16"/>
  <c r="R25" i="16"/>
  <c r="R28" i="16"/>
  <c r="O20" i="16"/>
  <c r="P20" i="16"/>
  <c r="O21" i="16"/>
  <c r="P21" i="16"/>
  <c r="O22" i="16"/>
  <c r="P22" i="16"/>
  <c r="P26" i="16"/>
  <c r="P25" i="16"/>
  <c r="P28" i="16"/>
  <c r="I20" i="16"/>
  <c r="J20" i="16"/>
  <c r="I21" i="16"/>
  <c r="J21" i="16"/>
  <c r="I22" i="16"/>
  <c r="J22" i="16"/>
  <c r="J26" i="16"/>
  <c r="J25" i="16"/>
  <c r="J28" i="16"/>
  <c r="AK27" i="16"/>
  <c r="Z27" i="16"/>
  <c r="Y27" i="16"/>
  <c r="W27" i="16"/>
  <c r="R27" i="16"/>
  <c r="P27" i="16"/>
  <c r="J27" i="16"/>
  <c r="AC21" i="16"/>
  <c r="AD21" i="16"/>
  <c r="AE21" i="16"/>
  <c r="AC20" i="16"/>
  <c r="AD20" i="16"/>
  <c r="AE20" i="16"/>
  <c r="AE25" i="16"/>
  <c r="AE24" i="16"/>
  <c r="AE26" i="16"/>
  <c r="AB25" i="16"/>
  <c r="AB24" i="16"/>
  <c r="AB26" i="16"/>
  <c r="AK14" i="16"/>
  <c r="AK13" i="16"/>
  <c r="AK16" i="16"/>
  <c r="N9" i="16"/>
  <c r="U9" i="16"/>
  <c r="Z9" i="16"/>
  <c r="N10" i="16"/>
  <c r="U10" i="16"/>
  <c r="Z10" i="16"/>
  <c r="N11" i="16"/>
  <c r="U11" i="16"/>
  <c r="Z11" i="16"/>
  <c r="Z14" i="16"/>
  <c r="Z13" i="16"/>
  <c r="Z16" i="16"/>
  <c r="Y9" i="16"/>
  <c r="Y10" i="16"/>
  <c r="Y11" i="16"/>
  <c r="Y14" i="16"/>
  <c r="Y13" i="16"/>
  <c r="Y16" i="16"/>
  <c r="E7" i="16"/>
  <c r="V9" i="16"/>
  <c r="W9" i="16"/>
  <c r="V10" i="16"/>
  <c r="W10" i="16"/>
  <c r="V11" i="16"/>
  <c r="W11" i="16"/>
  <c r="W14" i="16"/>
  <c r="W13" i="16"/>
  <c r="W16" i="16"/>
  <c r="H9" i="16"/>
  <c r="R9" i="16"/>
  <c r="H10" i="16"/>
  <c r="R10" i="16"/>
  <c r="H11" i="16"/>
  <c r="R11" i="16"/>
  <c r="R14" i="16"/>
  <c r="R13" i="16"/>
  <c r="R16" i="16"/>
  <c r="O9" i="16"/>
  <c r="P9" i="16"/>
  <c r="O10" i="16"/>
  <c r="P10" i="16"/>
  <c r="O11" i="16"/>
  <c r="P11" i="16"/>
  <c r="P14" i="16"/>
  <c r="P13" i="16"/>
  <c r="P16" i="16"/>
  <c r="I9" i="16"/>
  <c r="J9" i="16"/>
  <c r="I10" i="16"/>
  <c r="J10" i="16"/>
  <c r="I11" i="16"/>
  <c r="J11" i="16"/>
  <c r="J14" i="16"/>
  <c r="J13" i="16"/>
  <c r="J16" i="16"/>
  <c r="AK15" i="16"/>
  <c r="AC9" i="16"/>
  <c r="AD9" i="16"/>
  <c r="AE9" i="16"/>
  <c r="AC10" i="16"/>
  <c r="AD10" i="16"/>
  <c r="AE10" i="16"/>
  <c r="AC11" i="16"/>
  <c r="AD11" i="16"/>
  <c r="AE11" i="16"/>
  <c r="AE14" i="16"/>
  <c r="AE13" i="16"/>
  <c r="AE15" i="16"/>
  <c r="AB14" i="16"/>
  <c r="AB13" i="16"/>
  <c r="AB15" i="16"/>
  <c r="Z15" i="16"/>
  <c r="Y15" i="16"/>
  <c r="W15" i="16"/>
  <c r="R15" i="16"/>
  <c r="P15" i="16"/>
  <c r="J15" i="16"/>
  <c r="J20" i="15"/>
  <c r="K20" i="15"/>
  <c r="J21" i="15"/>
  <c r="K21" i="15"/>
  <c r="J22" i="15"/>
  <c r="K22" i="15"/>
  <c r="K25" i="15"/>
  <c r="J9" i="15"/>
  <c r="K9" i="15"/>
  <c r="J10" i="15"/>
  <c r="K10" i="15"/>
  <c r="J11" i="15"/>
  <c r="K11" i="15"/>
  <c r="K13" i="15"/>
  <c r="K26" i="15"/>
  <c r="K28" i="15"/>
  <c r="K27" i="15"/>
  <c r="K14" i="15"/>
  <c r="K16" i="15"/>
  <c r="K15" i="15"/>
  <c r="K23" i="12"/>
  <c r="M23" i="12"/>
  <c r="N23" i="12"/>
  <c r="J23" i="12"/>
  <c r="L23" i="12"/>
  <c r="K22" i="12"/>
  <c r="M22" i="12"/>
  <c r="N22" i="12"/>
  <c r="J22" i="12"/>
  <c r="L22" i="12"/>
  <c r="K21" i="12"/>
  <c r="M21" i="12"/>
  <c r="N21" i="12"/>
  <c r="J21" i="12"/>
  <c r="L21" i="12"/>
  <c r="J40" i="12"/>
  <c r="K40" i="12"/>
  <c r="L40" i="12"/>
  <c r="M40" i="12"/>
  <c r="N40" i="12"/>
  <c r="J41" i="12"/>
  <c r="K41" i="12"/>
  <c r="L41" i="12"/>
  <c r="M41" i="12"/>
  <c r="N41" i="12"/>
  <c r="K37" i="12"/>
  <c r="O37" i="12"/>
  <c r="K38" i="12"/>
  <c r="O38" i="12"/>
  <c r="K39" i="12"/>
  <c r="O39" i="12"/>
  <c r="K36" i="12"/>
  <c r="O36" i="12"/>
  <c r="K25" i="12"/>
  <c r="M25" i="12"/>
  <c r="N25" i="12"/>
  <c r="K26" i="12"/>
  <c r="M26" i="12"/>
  <c r="N26" i="12"/>
  <c r="M27" i="12"/>
  <c r="N27" i="12"/>
  <c r="M28" i="12"/>
  <c r="N28" i="12"/>
  <c r="M29" i="12"/>
  <c r="N29" i="12"/>
  <c r="K30" i="12"/>
  <c r="M30" i="12"/>
  <c r="N30" i="12"/>
  <c r="K31" i="12"/>
  <c r="M31" i="12"/>
  <c r="N31" i="12"/>
  <c r="K32" i="12"/>
  <c r="M32" i="12"/>
  <c r="N32" i="12"/>
  <c r="K33" i="12"/>
  <c r="M33" i="12"/>
  <c r="N33" i="12"/>
  <c r="K34" i="12"/>
  <c r="M34" i="12"/>
  <c r="N34" i="12"/>
  <c r="K35" i="12"/>
  <c r="M35" i="12"/>
  <c r="N35" i="12"/>
  <c r="M36" i="12"/>
  <c r="N36" i="12"/>
  <c r="M37" i="12"/>
  <c r="N37" i="12"/>
  <c r="M38" i="12"/>
  <c r="N38" i="12"/>
  <c r="M39" i="12"/>
  <c r="N39" i="12"/>
  <c r="K24" i="12"/>
  <c r="M24" i="12"/>
  <c r="N24" i="12"/>
  <c r="J25" i="12"/>
  <c r="L25" i="12"/>
  <c r="J26" i="12"/>
  <c r="L26" i="12"/>
  <c r="J27" i="12"/>
  <c r="L27" i="12"/>
  <c r="J28" i="12"/>
  <c r="L28" i="12"/>
  <c r="J29" i="12"/>
  <c r="L29" i="12"/>
  <c r="J30" i="12"/>
  <c r="L30" i="12"/>
  <c r="J31" i="12"/>
  <c r="L31" i="12"/>
  <c r="J32" i="12"/>
  <c r="L32" i="12"/>
  <c r="J33" i="12"/>
  <c r="L33" i="12"/>
  <c r="J34" i="12"/>
  <c r="L34" i="12"/>
  <c r="J35" i="12"/>
  <c r="L35" i="12"/>
  <c r="J36" i="12"/>
  <c r="L36" i="12"/>
  <c r="J37" i="12"/>
  <c r="L37" i="12"/>
  <c r="J38" i="12"/>
  <c r="L38" i="12"/>
  <c r="J39" i="12"/>
  <c r="L39" i="12"/>
  <c r="J24" i="12"/>
  <c r="A4" i="7"/>
  <c r="L24" i="12"/>
  <c r="U7" i="12"/>
  <c r="S7" i="12"/>
  <c r="J7" i="12"/>
  <c r="L7" i="12"/>
  <c r="U6" i="12"/>
  <c r="S6" i="12"/>
  <c r="J6" i="12"/>
  <c r="L6" i="12"/>
  <c r="U5" i="12"/>
  <c r="S5" i="12"/>
  <c r="J5" i="12"/>
  <c r="L5" i="12"/>
  <c r="U4" i="12"/>
  <c r="S4" i="12"/>
  <c r="J4" i="12"/>
  <c r="L4" i="12"/>
</calcChain>
</file>

<file path=xl/comments1.xml><?xml version="1.0" encoding="utf-8"?>
<comments xmlns="http://schemas.openxmlformats.org/spreadsheetml/2006/main">
  <authors>
    <author>David Karl</author>
    <author>Dan Sadler</author>
  </authors>
  <commentList>
    <comment ref="S1" authorId="0">
      <text>
        <r>
          <rPr>
            <b/>
            <sz val="10"/>
            <color indexed="81"/>
            <rFont val="Tahoma"/>
            <family val="2"/>
          </rPr>
          <t>Calculated using the Ideal Gas Law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J2" authorId="0">
      <text>
        <r>
          <rPr>
            <b/>
            <sz val="10"/>
            <color indexed="81"/>
            <rFont val="Tahoma"/>
            <family val="2"/>
          </rPr>
          <t>Calculated from Licor integrated area and flow rate using two point Licor calibration:
[CO2] = 0 ppm and [CO2] = 242.58 ppm</t>
        </r>
        <r>
          <rPr>
            <sz val="10"/>
            <color indexed="81"/>
            <rFont val="Tahoma"/>
            <family val="2"/>
          </rPr>
          <t xml:space="preserve">
Takes into account changes in flow rate.</t>
        </r>
      </text>
    </comment>
    <comment ref="K2" authorId="1">
      <text>
        <r>
          <rPr>
            <b/>
            <sz val="8"/>
            <color indexed="81"/>
            <rFont val="Tahoma"/>
            <family val="2"/>
          </rPr>
          <t>Dan Sadler:</t>
        </r>
        <r>
          <rPr>
            <sz val="8"/>
            <color indexed="81"/>
            <rFont val="Tahoma"/>
            <family val="2"/>
          </rPr>
          <t xml:space="preserve">
PIC from Calibration Curve.  Assumes all flow rates are the same.</t>
        </r>
      </text>
    </comment>
    <comment ref="V4" authorId="1">
      <text>
        <r>
          <rPr>
            <b/>
            <sz val="8"/>
            <color indexed="81"/>
            <rFont val="Tahoma"/>
            <family val="2"/>
          </rPr>
          <t>Area corrected by ratio of flow rates
144/200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10"/>
            <color indexed="81"/>
            <rFont val="Tahoma"/>
            <family val="2"/>
          </rPr>
          <t>Calculated from Licor integrated area and flow rate using two point Licor calibration:
[CO2] = 0 ppm and [CO2] = 357.34 ppm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K19" authorId="1">
      <text>
        <r>
          <rPr>
            <b/>
            <sz val="8"/>
            <color indexed="81"/>
            <rFont val="Tahoma"/>
            <family val="2"/>
          </rPr>
          <t>PIC from Calibration Curve.  Assumes all flow rates are the same.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JD</author>
  </authors>
  <commentList>
    <comment ref="O1" authorId="0">
      <text>
        <r>
          <rPr>
            <b/>
            <sz val="9"/>
            <color indexed="81"/>
            <rFont val="Tahoma"/>
            <family val="2"/>
          </rPr>
          <t>JD:</t>
        </r>
        <r>
          <rPr>
            <sz val="9"/>
            <color indexed="81"/>
            <rFont val="Tahoma"/>
            <family val="2"/>
          </rPr>
          <t xml:space="preserve">
added statistics</t>
        </r>
      </text>
    </comment>
  </commentList>
</comments>
</file>

<file path=xl/sharedStrings.xml><?xml version="1.0" encoding="utf-8"?>
<sst xmlns="http://schemas.openxmlformats.org/spreadsheetml/2006/main" count="277" uniqueCount="112">
  <si>
    <t>Vol Flask</t>
  </si>
  <si>
    <t>Temp</t>
  </si>
  <si>
    <t>Pressure</t>
  </si>
  <si>
    <t>[CO2]</t>
  </si>
  <si>
    <t>Carbon</t>
  </si>
  <si>
    <t>Peak Area</t>
  </si>
  <si>
    <t>Calibration Curve:</t>
  </si>
  <si>
    <t>Slope:</t>
  </si>
  <si>
    <t>Sample Name</t>
  </si>
  <si>
    <t>Peak Height</t>
  </si>
  <si>
    <t>Flow Rate</t>
  </si>
  <si>
    <t>PIC from Licor</t>
  </si>
  <si>
    <t>PIC Cal</t>
  </si>
  <si>
    <t>% Recovery</t>
  </si>
  <si>
    <t>ml</t>
  </si>
  <si>
    <t>C</t>
  </si>
  <si>
    <t>kPa</t>
  </si>
  <si>
    <t>ppm</t>
  </si>
  <si>
    <t>umol</t>
  </si>
  <si>
    <t>Intercept:</t>
  </si>
  <si>
    <t>(sccm)</t>
  </si>
  <si>
    <t>(umol)</t>
  </si>
  <si>
    <t>R2:</t>
  </si>
  <si>
    <t>GSTD 15A</t>
  </si>
  <si>
    <t>GSTD 25A</t>
  </si>
  <si>
    <t>GSTD 60A</t>
  </si>
  <si>
    <t>GSTD 250A</t>
  </si>
  <si>
    <t>Thresh</t>
  </si>
  <si>
    <t>% Diff</t>
  </si>
  <si>
    <t xml:space="preserve">Sample </t>
  </si>
  <si>
    <t>PIC Measured</t>
  </si>
  <si>
    <t>Average Blank</t>
  </si>
  <si>
    <t>Flux (mg/m2/d)</t>
  </si>
  <si>
    <t>mean</t>
  </si>
  <si>
    <t>sd</t>
  </si>
  <si>
    <t>cv</t>
  </si>
  <si>
    <t xml:space="preserve"> </t>
  </si>
  <si>
    <t>Weight (ug)</t>
  </si>
  <si>
    <t>PIC</t>
  </si>
  <si>
    <t>ug</t>
  </si>
  <si>
    <t>%PIC</t>
  </si>
  <si>
    <t>Trap</t>
  </si>
  <si>
    <t>Sample</t>
  </si>
  <si>
    <t>Total Mass</t>
  </si>
  <si>
    <t>Mass of Sample</t>
  </si>
  <si>
    <r>
      <t>mg/m</t>
    </r>
    <r>
      <rPr>
        <b/>
        <i/>
        <vertAlign val="superscript"/>
        <sz val="10"/>
        <rFont val="Arial"/>
        <family val="2"/>
      </rPr>
      <t>2</t>
    </r>
    <r>
      <rPr>
        <b/>
        <i/>
        <sz val="10"/>
        <rFont val="Arial"/>
      </rPr>
      <t>/d</t>
    </r>
  </si>
  <si>
    <t>cruise</t>
  </si>
  <si>
    <t>ID</t>
  </si>
  <si>
    <t>time</t>
  </si>
  <si>
    <t>from all traps</t>
  </si>
  <si>
    <t>(mg)</t>
  </si>
  <si>
    <t>(ug)</t>
  </si>
  <si>
    <t>measured</t>
  </si>
  <si>
    <t>per ug sample</t>
  </si>
  <si>
    <t>per depth</t>
  </si>
  <si>
    <t>n</t>
  </si>
  <si>
    <t>CV</t>
  </si>
  <si>
    <t>DAYS</t>
  </si>
  <si>
    <t>Ran in EA</t>
  </si>
  <si>
    <t>N</t>
  </si>
  <si>
    <t>H</t>
  </si>
  <si>
    <t>C/N</t>
  </si>
  <si>
    <t>H/C</t>
  </si>
  <si>
    <t>C/H</t>
  </si>
  <si>
    <t>CaCO3</t>
  </si>
  <si>
    <t>AL19-20</t>
  </si>
  <si>
    <t>AL19-5</t>
  </si>
  <si>
    <t>AL1-5</t>
  </si>
  <si>
    <t>AL1-6</t>
  </si>
  <si>
    <t>AL1-13</t>
  </si>
  <si>
    <t>GF/F BK1</t>
  </si>
  <si>
    <t>GF/F BK2</t>
  </si>
  <si>
    <t>GF/F BK3</t>
  </si>
  <si>
    <t>AL19</t>
  </si>
  <si>
    <r>
      <t>cal/m</t>
    </r>
    <r>
      <rPr>
        <b/>
        <i/>
        <vertAlign val="superscript"/>
        <sz val="10"/>
        <rFont val="Arial"/>
        <family val="2"/>
      </rPr>
      <t>2</t>
    </r>
    <r>
      <rPr>
        <b/>
        <i/>
        <sz val="10"/>
        <rFont val="Arial"/>
      </rPr>
      <t>/d</t>
    </r>
  </si>
  <si>
    <t>ca/g</t>
  </si>
  <si>
    <t>ca/mg</t>
  </si>
  <si>
    <t>cal</t>
  </si>
  <si>
    <t>AL1</t>
  </si>
  <si>
    <t>AL1-T1-6c</t>
  </si>
  <si>
    <t>6c</t>
  </si>
  <si>
    <t>AL1-T1-2c/5c</t>
  </si>
  <si>
    <t>2c/5c</t>
  </si>
  <si>
    <t>Al1-T1-10/11/12/13</t>
  </si>
  <si>
    <t>10/11/12/13</t>
  </si>
  <si>
    <t>PPO4</t>
  </si>
  <si>
    <t>Sample Mass</t>
  </si>
  <si>
    <t>PIC Blank Corrected</t>
  </si>
  <si>
    <t>umol/ug</t>
  </si>
  <si>
    <t>ug/ug</t>
  </si>
  <si>
    <t>Duration (hours)</t>
  </si>
  <si>
    <t>total trap</t>
  </si>
  <si>
    <t>blank corr.</t>
  </si>
  <si>
    <t>ug PIC</t>
  </si>
  <si>
    <t>CHECK</t>
  </si>
  <si>
    <t>mw</t>
  </si>
  <si>
    <t>PIC Expected</t>
  </si>
  <si>
    <t>12% C</t>
  </si>
  <si>
    <t>TOTAL MASS</t>
  </si>
  <si>
    <t>Name</t>
  </si>
  <si>
    <t xml:space="preserve"> (mg)</t>
  </si>
  <si>
    <t xml:space="preserve"> (ug)</t>
  </si>
  <si>
    <t>ug sample weighed</t>
  </si>
  <si>
    <t>Average</t>
  </si>
  <si>
    <t>STDEV/Diff</t>
  </si>
  <si>
    <t>Total</t>
  </si>
  <si>
    <t>ugPIC</t>
  </si>
  <si>
    <t xml:space="preserve"> CALCULATED % PIC</t>
  </si>
  <si>
    <t>ugPIC per ug sample</t>
  </si>
  <si>
    <t>ugPIC per depth</t>
  </si>
  <si>
    <t>mgPIC per Depth</t>
  </si>
  <si>
    <t>% PIC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</si>
</sst>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"/>
    <numFmt numFmtId="165" formatCode="0.0"/>
    <numFmt numFmtId="166" formatCode="0.0000"/>
    <numFmt numFmtId="167" formatCode="0.0%"/>
    <numFmt numFmtId="168" formatCode="0.0000000"/>
    <numFmt numFmtId="169" formatCode="m/d/yy\ h:mm;@"/>
  </numFmts>
  <fonts count="3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</font>
    <font>
      <b/>
      <i/>
      <sz val="10"/>
      <name val="Arial"/>
    </font>
    <font>
      <b/>
      <i/>
      <sz val="10"/>
      <color indexed="10"/>
      <name val="Arial"/>
      <family val="2"/>
    </font>
    <font>
      <b/>
      <i/>
      <vertAlign val="superscript"/>
      <sz val="10"/>
      <name val="Arial"/>
      <family val="2"/>
    </font>
    <font>
      <b/>
      <i/>
      <sz val="10"/>
      <color rgb="FFDD0806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u/>
      <sz val="14"/>
      <name val="Arial"/>
      <family val="2"/>
    </font>
    <font>
      <sz val="10"/>
      <color theme="1"/>
      <name val="Arial"/>
    </font>
    <font>
      <i/>
      <sz val="10"/>
      <name val="Arial"/>
    </font>
    <font>
      <b/>
      <sz val="14"/>
      <name val="Arial"/>
      <family val="2"/>
    </font>
    <font>
      <b/>
      <sz val="11"/>
      <color theme="1"/>
      <name val="Calibri"/>
      <scheme val="minor"/>
    </font>
    <font>
      <b/>
      <sz val="20"/>
      <name val="Arial"/>
      <family val="2"/>
    </font>
    <font>
      <b/>
      <sz val="10"/>
      <color rgb="FFFF6600"/>
      <name val="Arial"/>
    </font>
    <font>
      <b/>
      <sz val="10"/>
      <color rgb="FFFF0000"/>
      <name val="Arial"/>
    </font>
    <font>
      <sz val="10"/>
      <name val="Verdana"/>
    </font>
    <font>
      <sz val="11"/>
      <color rgb="FFFF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376">
    <xf numFmtId="0" fontId="0" fillId="0" borderId="0"/>
    <xf numFmtId="9" fontId="8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/>
    <xf numFmtId="0" fontId="3" fillId="0" borderId="0"/>
    <xf numFmtId="0" fontId="3" fillId="0" borderId="0"/>
    <xf numFmtId="0" fontId="3" fillId="0" borderId="0"/>
    <xf numFmtId="9" fontId="13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  <xf numFmtId="0" fontId="29" fillId="0" borderId="0"/>
    <xf numFmtId="0" fontId="1" fillId="0" borderId="0"/>
    <xf numFmtId="0" fontId="8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25">
    <xf numFmtId="0" fontId="0" fillId="0" borderId="0" xfId="0"/>
    <xf numFmtId="164" fontId="0" fillId="0" borderId="0" xfId="0" applyNumberFormat="1"/>
    <xf numFmtId="2" fontId="0" fillId="0" borderId="0" xfId="0" applyNumberFormat="1"/>
    <xf numFmtId="2" fontId="0" fillId="2" borderId="0" xfId="0" applyNumberFormat="1" applyFill="1" applyAlignment="1">
      <alignment horizontal="center"/>
    </xf>
    <xf numFmtId="0" fontId="0" fillId="0" borderId="0" xfId="0" applyAlignment="1">
      <alignment horizontal="right"/>
    </xf>
    <xf numFmtId="0" fontId="0" fillId="0" borderId="0" xfId="0" applyNumberFormat="1" applyAlignme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2" borderId="0" xfId="0" applyFill="1"/>
    <xf numFmtId="165" fontId="0" fillId="0" borderId="0" xfId="0" applyNumberFormat="1"/>
    <xf numFmtId="1" fontId="0" fillId="0" borderId="0" xfId="0" applyNumberFormat="1" applyAlignment="1">
      <alignment horizontal="center"/>
    </xf>
    <xf numFmtId="166" fontId="0" fillId="0" borderId="0" xfId="0" applyNumberFormat="1"/>
    <xf numFmtId="167" fontId="0" fillId="0" borderId="0" xfId="1" applyNumberFormat="1" applyFont="1"/>
    <xf numFmtId="168" fontId="0" fillId="0" borderId="0" xfId="0" applyNumberFormat="1"/>
    <xf numFmtId="0" fontId="0" fillId="0" borderId="0" xfId="0" applyFill="1"/>
    <xf numFmtId="165" fontId="0" fillId="0" borderId="0" xfId="0" applyNumberFormat="1" applyFill="1"/>
    <xf numFmtId="2" fontId="0" fillId="0" borderId="0" xfId="0" applyNumberFormat="1" applyFill="1"/>
    <xf numFmtId="0" fontId="0" fillId="0" borderId="0" xfId="0" applyFill="1" applyAlignment="1">
      <alignment horizontal="center" wrapText="1"/>
    </xf>
    <xf numFmtId="165" fontId="0" fillId="0" borderId="0" xfId="0" applyNumberFormat="1" applyFill="1" applyAlignment="1">
      <alignment horizontal="center" wrapText="1"/>
    </xf>
    <xf numFmtId="2" fontId="0" fillId="0" borderId="0" xfId="0" applyNumberFormat="1" applyFill="1" applyAlignment="1">
      <alignment horizontal="center" wrapText="1"/>
    </xf>
    <xf numFmtId="1" fontId="0" fillId="0" borderId="0" xfId="0" applyNumberFormat="1" applyFill="1" applyAlignment="1">
      <alignment horizontal="center"/>
    </xf>
    <xf numFmtId="169" fontId="0" fillId="0" borderId="0" xfId="0" applyNumberFormat="1" applyFill="1"/>
    <xf numFmtId="167" fontId="0" fillId="0" borderId="0" xfId="1" applyNumberFormat="1" applyFont="1" applyFill="1"/>
    <xf numFmtId="10" fontId="0" fillId="0" borderId="0" xfId="0" applyNumberFormat="1"/>
    <xf numFmtId="0" fontId="14" fillId="0" borderId="0" xfId="104" applyFont="1" applyAlignment="1">
      <alignment horizontal="center"/>
    </xf>
    <xf numFmtId="0" fontId="15" fillId="0" borderId="0" xfId="104" applyFont="1" applyFill="1" applyAlignment="1">
      <alignment horizontal="center"/>
    </xf>
    <xf numFmtId="4" fontId="15" fillId="0" borderId="0" xfId="104" applyNumberFormat="1" applyFont="1" applyAlignment="1">
      <alignment horizontal="center"/>
    </xf>
    <xf numFmtId="166" fontId="15" fillId="0" borderId="0" xfId="104" applyNumberFormat="1" applyFont="1" applyAlignment="1">
      <alignment horizontal="center"/>
    </xf>
    <xf numFmtId="165" fontId="14" fillId="0" borderId="0" xfId="104" applyNumberFormat="1" applyFont="1" applyAlignment="1">
      <alignment horizontal="center"/>
    </xf>
    <xf numFmtId="2" fontId="14" fillId="0" borderId="0" xfId="104" applyNumberFormat="1" applyFont="1" applyAlignment="1">
      <alignment horizontal="center"/>
    </xf>
    <xf numFmtId="2" fontId="15" fillId="0" borderId="0" xfId="104" applyNumberFormat="1" applyFont="1" applyAlignment="1">
      <alignment horizontal="center"/>
    </xf>
    <xf numFmtId="166" fontId="17" fillId="0" borderId="0" xfId="104" applyNumberFormat="1" applyFont="1" applyAlignment="1">
      <alignment horizontal="center"/>
    </xf>
    <xf numFmtId="0" fontId="13" fillId="0" borderId="0" xfId="104"/>
    <xf numFmtId="0" fontId="18" fillId="0" borderId="0" xfId="104" applyFont="1" applyFill="1" applyAlignment="1">
      <alignment horizontal="center"/>
    </xf>
    <xf numFmtId="0" fontId="20" fillId="0" borderId="0" xfId="104" applyFont="1" applyFill="1"/>
    <xf numFmtId="0" fontId="21" fillId="0" borderId="0" xfId="104" applyFont="1"/>
    <xf numFmtId="0" fontId="13" fillId="0" borderId="0" xfId="104" applyAlignment="1">
      <alignment horizontal="center"/>
    </xf>
    <xf numFmtId="165" fontId="13" fillId="0" borderId="0" xfId="104" applyNumberFormat="1" applyAlignment="1">
      <alignment horizontal="center"/>
    </xf>
    <xf numFmtId="165" fontId="15" fillId="0" borderId="0" xfId="104" applyNumberFormat="1" applyFont="1" applyAlignment="1">
      <alignment horizontal="center"/>
    </xf>
    <xf numFmtId="2" fontId="13" fillId="0" borderId="0" xfId="104" applyNumberFormat="1"/>
    <xf numFmtId="166" fontId="13" fillId="0" borderId="0" xfId="104" applyNumberFormat="1"/>
    <xf numFmtId="165" fontId="13" fillId="0" borderId="0" xfId="104" applyNumberFormat="1"/>
    <xf numFmtId="165" fontId="19" fillId="0" borderId="0" xfId="104" applyNumberFormat="1" applyFont="1" applyAlignment="1">
      <alignment horizontal="center"/>
    </xf>
    <xf numFmtId="0" fontId="19" fillId="0" borderId="0" xfId="104" applyFont="1" applyAlignment="1">
      <alignment horizontal="center"/>
    </xf>
    <xf numFmtId="0" fontId="0" fillId="0" borderId="0" xfId="104" applyFont="1" applyAlignment="1">
      <alignment horizontal="center"/>
    </xf>
    <xf numFmtId="2" fontId="13" fillId="0" borderId="0" xfId="104" applyNumberFormat="1" applyFont="1" applyAlignment="1">
      <alignment horizontal="center"/>
    </xf>
    <xf numFmtId="165" fontId="13" fillId="0" borderId="0" xfId="104" applyNumberFormat="1" applyFont="1" applyAlignment="1">
      <alignment horizontal="center"/>
    </xf>
    <xf numFmtId="4" fontId="20" fillId="0" borderId="0" xfId="104" applyNumberFormat="1" applyFont="1" applyAlignment="1">
      <alignment horizontal="center"/>
    </xf>
    <xf numFmtId="166" fontId="20" fillId="0" borderId="0" xfId="104" applyNumberFormat="1" applyFont="1" applyAlignment="1">
      <alignment horizontal="center"/>
    </xf>
    <xf numFmtId="165" fontId="20" fillId="0" borderId="0" xfId="104" applyNumberFormat="1" applyFont="1" applyAlignment="1">
      <alignment horizontal="center"/>
    </xf>
    <xf numFmtId="2" fontId="20" fillId="0" borderId="0" xfId="104" applyNumberFormat="1" applyFont="1"/>
    <xf numFmtId="166" fontId="20" fillId="0" borderId="0" xfId="104" applyNumberFormat="1" applyFont="1"/>
    <xf numFmtId="165" fontId="20" fillId="0" borderId="0" xfId="104" applyNumberFormat="1" applyFont="1"/>
    <xf numFmtId="2" fontId="19" fillId="0" borderId="0" xfId="104" applyNumberFormat="1" applyFont="1" applyAlignment="1">
      <alignment horizontal="center"/>
    </xf>
    <xf numFmtId="166" fontId="19" fillId="0" borderId="0" xfId="104" applyNumberFormat="1" applyFont="1" applyAlignment="1">
      <alignment horizontal="center"/>
    </xf>
    <xf numFmtId="2" fontId="13" fillId="0" borderId="0" xfId="104" applyNumberFormat="1" applyFont="1" applyFill="1"/>
    <xf numFmtId="2" fontId="13" fillId="0" borderId="0" xfId="104" applyNumberFormat="1" applyAlignment="1">
      <alignment horizontal="center"/>
    </xf>
    <xf numFmtId="166" fontId="13" fillId="0" borderId="0" xfId="104" applyNumberFormat="1" applyFont="1" applyAlignment="1">
      <alignment horizontal="center"/>
    </xf>
    <xf numFmtId="2" fontId="20" fillId="0" borderId="0" xfId="104" applyNumberFormat="1" applyFont="1" applyAlignment="1">
      <alignment horizontal="center"/>
    </xf>
    <xf numFmtId="0" fontId="13" fillId="0" borderId="0" xfId="104" applyAlignment="1">
      <alignment horizontal="right"/>
    </xf>
    <xf numFmtId="2" fontId="13" fillId="0" borderId="0" xfId="104" applyNumberFormat="1" applyFont="1" applyFill="1" applyAlignment="1">
      <alignment horizontal="center"/>
    </xf>
    <xf numFmtId="1" fontId="13" fillId="0" borderId="0" xfId="104" applyNumberFormat="1" applyAlignment="1">
      <alignment horizontal="center"/>
    </xf>
    <xf numFmtId="1" fontId="20" fillId="0" borderId="0" xfId="104" applyNumberFormat="1" applyFont="1" applyAlignment="1">
      <alignment horizontal="center"/>
    </xf>
    <xf numFmtId="9" fontId="19" fillId="0" borderId="0" xfId="104" applyNumberFormat="1" applyFont="1" applyAlignment="1">
      <alignment horizontal="center"/>
    </xf>
    <xf numFmtId="2" fontId="18" fillId="0" borderId="0" xfId="104" applyNumberFormat="1" applyFont="1" applyAlignment="1">
      <alignment horizontal="center"/>
    </xf>
    <xf numFmtId="166" fontId="18" fillId="0" borderId="0" xfId="104" applyNumberFormat="1" applyFont="1" applyAlignment="1">
      <alignment horizontal="center"/>
    </xf>
    <xf numFmtId="9" fontId="18" fillId="0" borderId="0" xfId="104" applyNumberFormat="1" applyFont="1" applyAlignment="1">
      <alignment horizontal="center"/>
    </xf>
    <xf numFmtId="9" fontId="13" fillId="0" borderId="0" xfId="104" applyNumberFormat="1" applyAlignment="1">
      <alignment horizontal="center"/>
    </xf>
    <xf numFmtId="4" fontId="14" fillId="0" borderId="0" xfId="104" applyNumberFormat="1" applyFont="1" applyAlignment="1">
      <alignment horizontal="center"/>
    </xf>
    <xf numFmtId="166" fontId="14" fillId="0" borderId="0" xfId="104" applyNumberFormat="1" applyFont="1" applyAlignment="1">
      <alignment horizontal="center"/>
    </xf>
    <xf numFmtId="0" fontId="13" fillId="0" borderId="0" xfId="104" applyFont="1" applyAlignment="1">
      <alignment horizontal="center"/>
    </xf>
    <xf numFmtId="4" fontId="20" fillId="0" borderId="0" xfId="104" applyNumberFormat="1" applyFont="1"/>
    <xf numFmtId="0" fontId="20" fillId="0" borderId="0" xfId="104" applyFont="1"/>
    <xf numFmtId="165" fontId="20" fillId="0" borderId="0" xfId="104" applyNumberFormat="1" applyFont="1" applyFill="1"/>
    <xf numFmtId="2" fontId="13" fillId="0" borderId="0" xfId="104" applyNumberFormat="1" applyFill="1"/>
    <xf numFmtId="166" fontId="13" fillId="0" borderId="0" xfId="104" applyNumberFormat="1" applyAlignment="1">
      <alignment horizontal="center"/>
    </xf>
    <xf numFmtId="0" fontId="24" fillId="0" borderId="0" xfId="104" applyFont="1" applyAlignment="1">
      <alignment horizontal="center"/>
    </xf>
    <xf numFmtId="14" fontId="0" fillId="0" borderId="0" xfId="104" applyNumberFormat="1" applyFont="1" applyAlignment="1">
      <alignment horizontal="center"/>
    </xf>
    <xf numFmtId="0" fontId="13" fillId="0" borderId="0" xfId="104" applyFill="1"/>
    <xf numFmtId="0" fontId="14" fillId="0" borderId="0" xfId="143" applyFont="1" applyAlignment="1">
      <alignment horizontal="center"/>
    </xf>
    <xf numFmtId="165" fontId="14" fillId="0" borderId="0" xfId="143" applyNumberFormat="1" applyFont="1" applyAlignment="1">
      <alignment horizontal="center"/>
    </xf>
    <xf numFmtId="165" fontId="15" fillId="0" borderId="0" xfId="143" applyNumberFormat="1" applyFont="1" applyAlignment="1">
      <alignment horizontal="center"/>
    </xf>
    <xf numFmtId="0" fontId="19" fillId="0" borderId="0" xfId="143" applyFont="1" applyAlignment="1">
      <alignment horizontal="center"/>
    </xf>
    <xf numFmtId="165" fontId="19" fillId="0" borderId="0" xfId="143" applyNumberFormat="1" applyFont="1" applyAlignment="1">
      <alignment horizontal="center"/>
    </xf>
    <xf numFmtId="1" fontId="0" fillId="0" borderId="0" xfId="104" applyNumberFormat="1" applyFont="1" applyAlignment="1">
      <alignment horizontal="center"/>
    </xf>
    <xf numFmtId="0" fontId="22" fillId="0" borderId="0" xfId="143" applyFont="1" applyAlignment="1">
      <alignment horizontal="center"/>
    </xf>
    <xf numFmtId="4" fontId="14" fillId="0" borderId="0" xfId="143" applyNumberFormat="1" applyFont="1" applyBorder="1" applyAlignment="1">
      <alignment horizontal="center"/>
    </xf>
    <xf numFmtId="166" fontId="14" fillId="0" borderId="0" xfId="143" applyNumberFormat="1" applyFont="1" applyBorder="1" applyAlignment="1">
      <alignment horizontal="center"/>
    </xf>
    <xf numFmtId="2" fontId="14" fillId="0" borderId="0" xfId="143" applyNumberFormat="1" applyFont="1" applyBorder="1" applyAlignment="1">
      <alignment horizontal="center"/>
    </xf>
    <xf numFmtId="166" fontId="14" fillId="0" borderId="0" xfId="143" applyNumberFormat="1" applyFont="1" applyAlignment="1">
      <alignment horizontal="center"/>
    </xf>
    <xf numFmtId="164" fontId="19" fillId="0" borderId="0" xfId="104" applyNumberFormat="1" applyFont="1" applyAlignment="1">
      <alignment horizontal="center"/>
    </xf>
    <xf numFmtId="166" fontId="22" fillId="0" borderId="0" xfId="143" applyNumberFormat="1" applyFont="1" applyAlignment="1">
      <alignment horizontal="center"/>
    </xf>
    <xf numFmtId="0" fontId="24" fillId="0" borderId="0" xfId="104" applyFont="1" applyAlignment="1">
      <alignment horizontal="left"/>
    </xf>
    <xf numFmtId="0" fontId="23" fillId="0" borderId="0" xfId="105" applyFont="1" applyAlignment="1">
      <alignment horizontal="center"/>
    </xf>
    <xf numFmtId="165" fontId="23" fillId="0" borderId="0" xfId="105" applyNumberFormat="1" applyFont="1" applyAlignment="1">
      <alignment horizontal="center"/>
    </xf>
    <xf numFmtId="0" fontId="0" fillId="0" borderId="0" xfId="0" applyFill="1" applyAlignment="1">
      <alignment horizontal="center"/>
    </xf>
    <xf numFmtId="0" fontId="13" fillId="0" borderId="0" xfId="105" applyFont="1" applyAlignment="1">
      <alignment horizontal="center"/>
    </xf>
    <xf numFmtId="165" fontId="13" fillId="0" borderId="0" xfId="105" applyNumberFormat="1" applyFont="1" applyAlignment="1">
      <alignment horizontal="center"/>
    </xf>
    <xf numFmtId="166" fontId="0" fillId="0" borderId="0" xfId="0" applyNumberFormat="1" applyFill="1"/>
    <xf numFmtId="167" fontId="0" fillId="0" borderId="0" xfId="0" applyNumberFormat="1" applyFill="1"/>
    <xf numFmtId="1" fontId="25" fillId="0" borderId="0" xfId="0" applyNumberFormat="1" applyFont="1" applyFill="1" applyAlignment="1">
      <alignment horizontal="center"/>
    </xf>
    <xf numFmtId="165" fontId="25" fillId="0" borderId="0" xfId="0" applyNumberFormat="1" applyFont="1" applyAlignment="1">
      <alignment horizontal="center"/>
    </xf>
    <xf numFmtId="164" fontId="0" fillId="0" borderId="0" xfId="0" applyNumberFormat="1" applyFill="1"/>
    <xf numFmtId="2" fontId="0" fillId="0" borderId="0" xfId="0" applyNumberFormat="1" applyFill="1" applyAlignment="1">
      <alignment horizontal="center"/>
    </xf>
    <xf numFmtId="166" fontId="26" fillId="0" borderId="0" xfId="104" applyNumberFormat="1" applyFont="1"/>
    <xf numFmtId="0" fontId="19" fillId="0" borderId="0" xfId="104" applyFont="1" applyFill="1"/>
    <xf numFmtId="0" fontId="18" fillId="0" borderId="0" xfId="104" applyFont="1" applyFill="1" applyAlignment="1">
      <alignment horizontal="left"/>
    </xf>
    <xf numFmtId="166" fontId="27" fillId="0" borderId="0" xfId="310" applyNumberFormat="1" applyFont="1" applyAlignment="1">
      <alignment horizontal="right"/>
    </xf>
    <xf numFmtId="165" fontId="18" fillId="0" borderId="0" xfId="104" applyNumberFormat="1" applyFont="1" applyFill="1" applyAlignment="1">
      <alignment horizontal="center"/>
    </xf>
    <xf numFmtId="166" fontId="13" fillId="0" borderId="0" xfId="104" applyNumberFormat="1" applyFont="1" applyFill="1"/>
    <xf numFmtId="165" fontId="13" fillId="0" borderId="0" xfId="104" applyNumberFormat="1" applyFont="1" applyFill="1" applyAlignment="1">
      <alignment horizontal="center"/>
    </xf>
    <xf numFmtId="2" fontId="19" fillId="0" borderId="0" xfId="104" applyNumberFormat="1" applyFont="1" applyFill="1" applyAlignment="1">
      <alignment horizontal="right"/>
    </xf>
    <xf numFmtId="0" fontId="27" fillId="0" borderId="0" xfId="104" applyFont="1" applyAlignment="1">
      <alignment horizontal="right"/>
    </xf>
    <xf numFmtId="166" fontId="13" fillId="0" borderId="0" xfId="104" applyNumberFormat="1" applyFont="1"/>
    <xf numFmtId="2" fontId="19" fillId="0" borderId="0" xfId="104" applyNumberFormat="1" applyFont="1" applyAlignment="1">
      <alignment horizontal="right"/>
    </xf>
    <xf numFmtId="167" fontId="19" fillId="0" borderId="0" xfId="104" applyNumberFormat="1" applyFont="1" applyAlignment="1">
      <alignment horizontal="right"/>
    </xf>
    <xf numFmtId="0" fontId="18" fillId="0" borderId="0" xfId="104" applyFont="1" applyAlignment="1">
      <alignment horizontal="left"/>
    </xf>
    <xf numFmtId="0" fontId="27" fillId="0" borderId="0" xfId="310" applyFont="1" applyAlignment="1">
      <alignment horizontal="right"/>
    </xf>
    <xf numFmtId="165" fontId="18" fillId="0" borderId="0" xfId="104" applyNumberFormat="1" applyFont="1" applyAlignment="1">
      <alignment horizontal="center"/>
    </xf>
    <xf numFmtId="0" fontId="28" fillId="0" borderId="0" xfId="104" applyFont="1" applyAlignment="1">
      <alignment horizontal="left"/>
    </xf>
    <xf numFmtId="2" fontId="13" fillId="0" borderId="0" xfId="104" applyNumberFormat="1" applyFont="1" applyFill="1" applyAlignment="1">
      <alignment horizontal="right"/>
    </xf>
    <xf numFmtId="2" fontId="13" fillId="0" borderId="0" xfId="104" applyNumberFormat="1" applyFont="1" applyAlignment="1">
      <alignment horizontal="right"/>
    </xf>
    <xf numFmtId="2" fontId="13" fillId="0" borderId="0" xfId="311" applyNumberFormat="1" applyFont="1" applyAlignment="1" applyProtection="1">
      <alignment horizontal="right"/>
    </xf>
    <xf numFmtId="0" fontId="30" fillId="0" borderId="0" xfId="0" applyFont="1" applyFill="1"/>
  </cellXfs>
  <cellStyles count="37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Normal" xfId="0" builtinId="0"/>
    <cellStyle name="Normal 2" xfId="104"/>
    <cellStyle name="Normal 3" xfId="105"/>
    <cellStyle name="Normal 3 2" xfId="106"/>
    <cellStyle name="Normal 3 2 2" xfId="143"/>
    <cellStyle name="Normal 3 2 2 2" xfId="312"/>
    <cellStyle name="Normal 3 3" xfId="107"/>
    <cellStyle name="Normal 3 3 2" xfId="310"/>
    <cellStyle name="Normal 4" xfId="311"/>
    <cellStyle name="Normal 5" xfId="313"/>
    <cellStyle name="Percent" xfId="1" builtinId="5"/>
    <cellStyle name="Percent 2" xfId="10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Calibration by Integrated Area (Gas Standards)</a:t>
            </a:r>
          </a:p>
        </c:rich>
      </c:tx>
      <c:layout>
        <c:manualLayout>
          <c:xMode val="edge"/>
          <c:yMode val="edge"/>
          <c:x val="0.208414291523419"/>
          <c:y val="0.037389666569456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990291262136"/>
          <c:y val="0.172749802192163"/>
          <c:w val="0.784466019417475"/>
          <c:h val="0.6593689632968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'04.28.17'!$U$3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0.0788696697738058"/>
                  <c:y val="0.141822376289317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'04.28.17'!$S$4:$S$16</c:f>
              <c:numCache>
                <c:formatCode>General</c:formatCode>
                <c:ptCount val="13"/>
                <c:pt idx="0">
                  <c:v>0.246492363445536</c:v>
                </c:pt>
                <c:pt idx="1">
                  <c:v>0.432122414929211</c:v>
                </c:pt>
                <c:pt idx="2">
                  <c:v>1.028742134133117</c:v>
                </c:pt>
                <c:pt idx="3">
                  <c:v>4.158924650727147</c:v>
                </c:pt>
              </c:numCache>
            </c:numRef>
          </c:xVal>
          <c:yVal>
            <c:numRef>
              <c:f>'04.28.17'!$U$4:$U$16</c:f>
              <c:numCache>
                <c:formatCode>General</c:formatCode>
                <c:ptCount val="13"/>
                <c:pt idx="0">
                  <c:v>1671.3</c:v>
                </c:pt>
                <c:pt idx="1">
                  <c:v>2891.0</c:v>
                </c:pt>
                <c:pt idx="2">
                  <c:v>6881.7</c:v>
                </c:pt>
                <c:pt idx="3">
                  <c:v>27670.0</c:v>
                </c:pt>
              </c:numCache>
            </c:numRef>
          </c:yVal>
          <c:smooth val="0"/>
        </c:ser>
        <c:ser>
          <c:idx val="1"/>
          <c:order val="1"/>
          <c:tx>
            <c:v>solid</c:v>
          </c:tx>
          <c:spPr>
            <a:ln w="28575">
              <a:noFill/>
            </a:ln>
          </c:spPr>
          <c:marker>
            <c:spPr>
              <a:solidFill>
                <a:srgbClr val="C0504D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88708984"/>
        <c:axId val="-2077133272"/>
      </c:scatterChart>
      <c:valAx>
        <c:axId val="-2088708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Carbon (umol)</a:t>
                </a:r>
              </a:p>
            </c:rich>
          </c:tx>
          <c:layout>
            <c:manualLayout>
              <c:xMode val="edge"/>
              <c:yMode val="edge"/>
              <c:x val="0.467961073527781"/>
              <c:y val="0.9075449596578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077133272"/>
        <c:crosses val="autoZero"/>
        <c:crossBetween val="midCat"/>
      </c:valAx>
      <c:valAx>
        <c:axId val="-2077133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Integrated Area</a:t>
                </a:r>
              </a:p>
            </c:rich>
          </c:tx>
          <c:layout>
            <c:manualLayout>
              <c:xMode val="edge"/>
              <c:yMode val="edge"/>
              <c:x val="0.0310679826993457"/>
              <c:y val="0.3771298726548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08870898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.0" l="0.750000000000001" r="0.750000000000001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Peak Area vs Height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'04.28.17'!$E$19</c:f>
              <c:strCache>
                <c:ptCount val="1"/>
                <c:pt idx="0">
                  <c:v>Peak Area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4F81BD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0.181982939632546"/>
                  <c:y val="-0.180914625255176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</c:trendlineLbl>
          </c:trendline>
          <c:xVal>
            <c:numRef>
              <c:f>'04.28.17'!$F$25:$F$37</c:f>
              <c:numCache>
                <c:formatCode>General</c:formatCode>
                <c:ptCount val="13"/>
                <c:pt idx="0">
                  <c:v>337.45</c:v>
                </c:pt>
                <c:pt idx="1">
                  <c:v>609.14</c:v>
                </c:pt>
                <c:pt idx="2">
                  <c:v>732.09</c:v>
                </c:pt>
                <c:pt idx="3">
                  <c:v>525.45</c:v>
                </c:pt>
                <c:pt idx="4">
                  <c:v>310.11</c:v>
                </c:pt>
                <c:pt idx="5">
                  <c:v>450.52</c:v>
                </c:pt>
                <c:pt idx="6">
                  <c:v>558.42</c:v>
                </c:pt>
                <c:pt idx="7">
                  <c:v>567.72</c:v>
                </c:pt>
                <c:pt idx="8">
                  <c:v>392.09</c:v>
                </c:pt>
                <c:pt idx="9">
                  <c:v>329.42</c:v>
                </c:pt>
                <c:pt idx="10">
                  <c:v>474.97</c:v>
                </c:pt>
                <c:pt idx="11">
                  <c:v>182.55</c:v>
                </c:pt>
                <c:pt idx="12">
                  <c:v>345.86</c:v>
                </c:pt>
              </c:numCache>
            </c:numRef>
          </c:xVal>
          <c:yVal>
            <c:numRef>
              <c:f>'04.28.17'!$E$25:$E$37</c:f>
              <c:numCache>
                <c:formatCode>General</c:formatCode>
                <c:ptCount val="13"/>
                <c:pt idx="0">
                  <c:v>4262.0</c:v>
                </c:pt>
                <c:pt idx="1">
                  <c:v>8142.2</c:v>
                </c:pt>
                <c:pt idx="2">
                  <c:v>9794.0</c:v>
                </c:pt>
                <c:pt idx="3">
                  <c:v>7103.8</c:v>
                </c:pt>
                <c:pt idx="4">
                  <c:v>4144.5</c:v>
                </c:pt>
                <c:pt idx="5">
                  <c:v>6141.5</c:v>
                </c:pt>
                <c:pt idx="6">
                  <c:v>7346.4</c:v>
                </c:pt>
                <c:pt idx="7">
                  <c:v>7626.6</c:v>
                </c:pt>
                <c:pt idx="8">
                  <c:v>5161.2</c:v>
                </c:pt>
                <c:pt idx="9">
                  <c:v>4278.8</c:v>
                </c:pt>
                <c:pt idx="10">
                  <c:v>6411.4</c:v>
                </c:pt>
                <c:pt idx="11">
                  <c:v>2450.6</c:v>
                </c:pt>
                <c:pt idx="12">
                  <c:v>4598.7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48159256"/>
        <c:axId val="-2074402072"/>
      </c:scatterChart>
      <c:valAx>
        <c:axId val="-2048159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Peak Height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2074402072"/>
        <c:crosses val="autoZero"/>
        <c:crossBetween val="midCat"/>
      </c:valAx>
      <c:valAx>
        <c:axId val="-2074402072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wordArtVert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Peak Area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-2048159256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 alignWithMargins="0"/>
    <c:pageMargins b="0.750000000000001" l="0.700000000000001" r="0.700000000000001" t="0.750000000000001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424392</xdr:colOff>
      <xdr:row>17</xdr:row>
      <xdr:rowOff>85724</xdr:rowOff>
    </xdr:from>
    <xdr:to>
      <xdr:col>24</xdr:col>
      <xdr:colOff>452967</xdr:colOff>
      <xdr:row>35</xdr:row>
      <xdr:rowOff>114299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425451</xdr:colOff>
      <xdr:row>36</xdr:row>
      <xdr:rowOff>41275</xdr:rowOff>
    </xdr:from>
    <xdr:to>
      <xdr:col>23</xdr:col>
      <xdr:colOff>730251</xdr:colOff>
      <xdr:row>49</xdr:row>
      <xdr:rowOff>127000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24</xdr:col>
      <xdr:colOff>567266</xdr:colOff>
      <xdr:row>17</xdr:row>
      <xdr:rowOff>160867</xdr:rowOff>
    </xdr:from>
    <xdr:to>
      <xdr:col>30</xdr:col>
      <xdr:colOff>668866</xdr:colOff>
      <xdr:row>28</xdr:row>
      <xdr:rowOff>46567</xdr:rowOff>
    </xdr:to>
    <xdr:pic>
      <xdr:nvPicPr>
        <xdr:cNvPr id="696322" name="Picture 2" descr="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80866" y="3183467"/>
          <a:ext cx="5080000" cy="184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86"/>
  <sheetViews>
    <sheetView tabSelected="1" zoomScale="150" zoomScaleNormal="150" zoomScalePageLayoutView="150" workbookViewId="0"/>
  </sheetViews>
  <sheetFormatPr baseColWidth="10" defaultRowHeight="14" x14ac:dyDescent="0"/>
  <sheetData>
    <row r="1" spans="1:26">
      <c r="J1" s="1"/>
      <c r="K1" s="2"/>
      <c r="L1" s="2"/>
      <c r="O1" s="3" t="s">
        <v>0</v>
      </c>
      <c r="P1" s="3" t="s">
        <v>1</v>
      </c>
      <c r="Q1" s="3" t="s">
        <v>2</v>
      </c>
      <c r="R1" s="3" t="s">
        <v>3</v>
      </c>
      <c r="S1" s="3" t="s">
        <v>4</v>
      </c>
      <c r="U1" t="s">
        <v>5</v>
      </c>
      <c r="W1" t="s">
        <v>6</v>
      </c>
      <c r="Y1" s="4" t="s">
        <v>7</v>
      </c>
      <c r="Z1">
        <v>6646</v>
      </c>
    </row>
    <row r="2" spans="1:26">
      <c r="A2" t="s">
        <v>8</v>
      </c>
      <c r="E2" t="s">
        <v>5</v>
      </c>
      <c r="F2" s="5" t="s">
        <v>9</v>
      </c>
      <c r="H2" s="6" t="s">
        <v>10</v>
      </c>
      <c r="J2" s="7" t="s">
        <v>11</v>
      </c>
      <c r="K2" s="8" t="s">
        <v>12</v>
      </c>
      <c r="L2" s="8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Y2" s="4" t="s">
        <v>19</v>
      </c>
      <c r="Z2">
        <v>31.605</v>
      </c>
    </row>
    <row r="3" spans="1:26">
      <c r="F3" s="5"/>
      <c r="H3" s="6" t="s">
        <v>20</v>
      </c>
      <c r="J3" s="7" t="s">
        <v>21</v>
      </c>
      <c r="K3" s="8" t="s">
        <v>21</v>
      </c>
      <c r="L3" s="8"/>
      <c r="O3" s="9"/>
      <c r="P3" s="9"/>
      <c r="Q3" s="9"/>
      <c r="R3" s="9"/>
      <c r="S3" s="9"/>
      <c r="Y3" s="4" t="s">
        <v>22</v>
      </c>
      <c r="Z3">
        <v>1</v>
      </c>
    </row>
    <row r="4" spans="1:26">
      <c r="A4" t="s">
        <v>23</v>
      </c>
      <c r="D4" s="1"/>
      <c r="E4">
        <v>1671.3</v>
      </c>
      <c r="F4" s="5">
        <v>163.55000000000001</v>
      </c>
      <c r="H4" s="6">
        <v>200</v>
      </c>
      <c r="J4" s="7">
        <f>E4*H4/1344000</f>
        <v>0.24870535714285713</v>
      </c>
      <c r="K4" s="8"/>
      <c r="L4" s="8">
        <f>J4/S4*100</f>
        <v>100.89779401941202</v>
      </c>
      <c r="O4" s="9">
        <v>14.58</v>
      </c>
      <c r="P4" s="9">
        <v>22.2</v>
      </c>
      <c r="Q4" s="9">
        <v>101.259</v>
      </c>
      <c r="R4" s="9">
        <v>410</v>
      </c>
      <c r="S4" s="9">
        <f>O4/1000*Q4/8.31447/(273.15+P4)*R4</f>
        <v>0.24649236344553577</v>
      </c>
      <c r="U4">
        <f>E4</f>
        <v>1671.3</v>
      </c>
      <c r="Y4" s="4"/>
    </row>
    <row r="5" spans="1:26">
      <c r="A5" t="s">
        <v>24</v>
      </c>
      <c r="E5">
        <v>2891</v>
      </c>
      <c r="F5" s="5">
        <v>209.25</v>
      </c>
      <c r="H5" s="6">
        <v>200</v>
      </c>
      <c r="J5" s="7">
        <f>E5*H5/1344000</f>
        <v>0.43020833333333336</v>
      </c>
      <c r="K5" s="8"/>
      <c r="L5" s="8">
        <f>J5/S5*100</f>
        <v>99.557051074013117</v>
      </c>
      <c r="O5" s="9">
        <v>25.56</v>
      </c>
      <c r="P5" s="9">
        <v>22.2</v>
      </c>
      <c r="Q5" s="9">
        <v>101.259</v>
      </c>
      <c r="R5" s="9">
        <v>410</v>
      </c>
      <c r="S5" s="9">
        <f>O5/1000*Q5/8.31447/(273.15+P5)*R5</f>
        <v>0.43212241492921089</v>
      </c>
      <c r="U5">
        <f>E5</f>
        <v>2891</v>
      </c>
      <c r="Y5" s="4"/>
    </row>
    <row r="6" spans="1:26">
      <c r="A6" t="s">
        <v>25</v>
      </c>
      <c r="E6">
        <v>6881.7</v>
      </c>
      <c r="F6" s="5">
        <v>276.31</v>
      </c>
      <c r="H6" s="6">
        <v>200</v>
      </c>
      <c r="J6" s="7">
        <f>E6*H6/1344000</f>
        <v>1.0240625000000001</v>
      </c>
      <c r="K6" s="8"/>
      <c r="L6" s="8">
        <f>J6/S6*100</f>
        <v>99.545111065460475</v>
      </c>
      <c r="O6" s="9">
        <v>60.85</v>
      </c>
      <c r="P6" s="9">
        <v>22.2</v>
      </c>
      <c r="Q6" s="9">
        <v>101.259</v>
      </c>
      <c r="R6" s="9">
        <v>410</v>
      </c>
      <c r="S6" s="9">
        <f>O6/1000*Q6/8.31447/(273.15+P6)*R6</f>
        <v>1.0287421341331173</v>
      </c>
      <c r="U6">
        <f>E6</f>
        <v>6881.7</v>
      </c>
      <c r="Y6" s="4"/>
    </row>
    <row r="7" spans="1:26">
      <c r="A7" t="s">
        <v>26</v>
      </c>
      <c r="E7">
        <v>27670</v>
      </c>
      <c r="F7" s="5">
        <v>348.38</v>
      </c>
      <c r="H7" s="6">
        <v>200</v>
      </c>
      <c r="J7" s="7">
        <f>E7*H7/1344000</f>
        <v>4.1175595238095237</v>
      </c>
      <c r="K7" s="8"/>
      <c r="L7" s="8">
        <f>J7/S7*100</f>
        <v>99.005388883148186</v>
      </c>
      <c r="O7" s="9">
        <v>246</v>
      </c>
      <c r="P7" s="9">
        <v>22.2</v>
      </c>
      <c r="Q7" s="9">
        <v>101.259</v>
      </c>
      <c r="R7" s="9">
        <v>410</v>
      </c>
      <c r="S7" s="9">
        <f>O7/1000*Q7/8.31447/(273.15+P7)*R7</f>
        <v>4.1589246507271467</v>
      </c>
      <c r="U7">
        <f>E7</f>
        <v>27670</v>
      </c>
      <c r="Y7" s="4"/>
    </row>
    <row r="8" spans="1:26">
      <c r="F8" s="5"/>
      <c r="H8" s="6"/>
      <c r="J8" s="7"/>
      <c r="K8" s="8"/>
      <c r="L8" s="8"/>
      <c r="Y8" s="4"/>
    </row>
    <row r="9" spans="1:26">
      <c r="D9" s="1"/>
      <c r="F9" s="5"/>
      <c r="H9" s="6"/>
      <c r="J9" s="7"/>
      <c r="K9" s="8"/>
      <c r="L9" s="8"/>
      <c r="Y9" s="4"/>
    </row>
    <row r="10" spans="1:26">
      <c r="D10" s="1"/>
      <c r="F10" s="5"/>
      <c r="H10" s="6"/>
      <c r="J10" s="7"/>
      <c r="K10" s="8"/>
      <c r="L10" s="8"/>
      <c r="Y10" s="4"/>
    </row>
    <row r="11" spans="1:26">
      <c r="F11" s="5"/>
      <c r="H11" s="6"/>
      <c r="J11" s="7"/>
      <c r="K11" s="8"/>
      <c r="L11" s="8"/>
      <c r="Y11" s="4"/>
    </row>
    <row r="12" spans="1:26">
      <c r="D12" s="12"/>
      <c r="F12" s="5"/>
      <c r="H12" s="6"/>
      <c r="J12" s="7"/>
      <c r="K12" s="8"/>
      <c r="L12" s="8"/>
      <c r="Y12" s="4"/>
    </row>
    <row r="13" spans="1:26">
      <c r="D13" s="12"/>
      <c r="F13" s="5"/>
      <c r="H13" s="6"/>
      <c r="J13" s="7"/>
      <c r="K13" s="8"/>
      <c r="L13" s="8"/>
      <c r="Y13" s="4"/>
    </row>
    <row r="14" spans="1:26">
      <c r="D14" s="12"/>
      <c r="F14" s="5"/>
      <c r="H14" s="6"/>
      <c r="J14" s="7"/>
      <c r="K14" s="8"/>
      <c r="L14" s="8"/>
      <c r="Y14" s="4"/>
    </row>
    <row r="15" spans="1:26">
      <c r="D15" s="12"/>
      <c r="F15" s="5"/>
      <c r="H15" s="6"/>
      <c r="J15" s="7"/>
      <c r="K15" s="8"/>
      <c r="L15" s="8"/>
      <c r="Y15" s="4"/>
    </row>
    <row r="16" spans="1:26">
      <c r="D16" s="12"/>
      <c r="F16" s="5"/>
      <c r="H16" s="6"/>
      <c r="J16" s="7"/>
      <c r="K16" s="2"/>
      <c r="L16" s="8"/>
      <c r="Y16" s="4"/>
    </row>
    <row r="17" spans="1:25">
      <c r="D17" s="12"/>
      <c r="F17" s="5"/>
      <c r="H17" s="6"/>
      <c r="J17" s="7"/>
      <c r="K17" s="2"/>
      <c r="L17" s="8"/>
    </row>
    <row r="18" spans="1:25">
      <c r="J18" s="1"/>
      <c r="K18" s="2"/>
      <c r="L18" s="2"/>
      <c r="Y18" s="4"/>
    </row>
    <row r="19" spans="1:25">
      <c r="A19" t="s">
        <v>8</v>
      </c>
      <c r="C19" t="s">
        <v>37</v>
      </c>
      <c r="D19" s="10" t="s">
        <v>27</v>
      </c>
      <c r="E19" t="s">
        <v>5</v>
      </c>
      <c r="F19" s="5" t="s">
        <v>9</v>
      </c>
      <c r="H19" s="6" t="s">
        <v>10</v>
      </c>
      <c r="J19" s="8" t="s">
        <v>11</v>
      </c>
      <c r="K19" s="8" t="s">
        <v>12</v>
      </c>
      <c r="L19" s="2" t="s">
        <v>28</v>
      </c>
      <c r="M19" t="s">
        <v>38</v>
      </c>
      <c r="N19" t="s">
        <v>40</v>
      </c>
    </row>
    <row r="20" spans="1:25">
      <c r="D20" s="10"/>
      <c r="F20" s="5"/>
      <c r="H20" s="6"/>
      <c r="J20" s="8"/>
      <c r="K20" s="2" t="s">
        <v>18</v>
      </c>
      <c r="L20" s="2"/>
      <c r="M20" t="s">
        <v>39</v>
      </c>
    </row>
    <row r="21" spans="1:25">
      <c r="A21" t="s">
        <v>70</v>
      </c>
      <c r="B21" t="s">
        <v>36</v>
      </c>
      <c r="D21" s="10">
        <v>1</v>
      </c>
      <c r="E21">
        <v>73.375</v>
      </c>
      <c r="F21">
        <v>8.0690000000000008</v>
      </c>
      <c r="H21" s="6">
        <v>200</v>
      </c>
      <c r="J21" s="7">
        <f>E21*H21/1344000</f>
        <v>1.0918898809523809E-2</v>
      </c>
      <c r="K21" s="2">
        <f>(E21-$Z$2)/$Z$1</f>
        <v>6.2849834486909412E-3</v>
      </c>
      <c r="L21" s="2">
        <f>(K21-J21)/K21*100</f>
        <v>-73.729953287276146</v>
      </c>
      <c r="M21" s="8">
        <f>K21*12.0107</f>
        <v>7.5487050707192291E-2</v>
      </c>
      <c r="N21" s="24" t="e">
        <f>M21/C21</f>
        <v>#DIV/0!</v>
      </c>
    </row>
    <row r="22" spans="1:25">
      <c r="A22" t="s">
        <v>71</v>
      </c>
      <c r="D22" s="10">
        <v>1</v>
      </c>
      <c r="E22">
        <v>50.088000000000001</v>
      </c>
      <c r="F22">
        <v>6.0730000000000004</v>
      </c>
      <c r="H22" s="6">
        <v>200</v>
      </c>
      <c r="J22" s="7">
        <f t="shared" ref="J22:J23" si="0">E22*H22/1344000</f>
        <v>7.4535714285714292E-3</v>
      </c>
      <c r="K22" s="2">
        <f t="shared" ref="K22:K23" si="1">(E22-$Z$2)/$Z$1</f>
        <v>2.7810713210953959E-3</v>
      </c>
      <c r="L22" s="2">
        <f t="shared" ref="L22:L23" si="2">(K22-J22)/K22*100</f>
        <v>-168.01079756687611</v>
      </c>
      <c r="M22" s="8">
        <f t="shared" ref="M22:M23" si="3">K22*12.0107</f>
        <v>3.3402613316280472E-2</v>
      </c>
      <c r="N22" s="24" t="e">
        <f t="shared" ref="N22:N23" si="4">M22/C22</f>
        <v>#DIV/0!</v>
      </c>
    </row>
    <row r="23" spans="1:25">
      <c r="A23" t="s">
        <v>72</v>
      </c>
      <c r="D23" s="10">
        <v>1</v>
      </c>
      <c r="E23">
        <v>43.011000000000003</v>
      </c>
      <c r="F23">
        <v>5.484</v>
      </c>
      <c r="H23" s="6">
        <v>200</v>
      </c>
      <c r="J23" s="7">
        <f t="shared" si="0"/>
        <v>6.400446428571429E-3</v>
      </c>
      <c r="K23" s="2">
        <f t="shared" si="1"/>
        <v>1.7162202828769188E-3</v>
      </c>
      <c r="L23" s="2">
        <f t="shared" si="2"/>
        <v>-272.93851450364463</v>
      </c>
      <c r="M23" s="8">
        <f t="shared" si="3"/>
        <v>2.0613006951549807E-2</v>
      </c>
      <c r="N23" s="24" t="e">
        <f t="shared" si="4"/>
        <v>#DIV/0!</v>
      </c>
      <c r="Y23" s="4"/>
    </row>
    <row r="24" spans="1:25">
      <c r="A24" t="s">
        <v>65</v>
      </c>
      <c r="B24" t="s">
        <v>36</v>
      </c>
      <c r="C24">
        <v>180.5</v>
      </c>
      <c r="D24" s="10">
        <v>1</v>
      </c>
      <c r="E24">
        <v>5655.5</v>
      </c>
      <c r="F24">
        <v>425.93</v>
      </c>
      <c r="H24" s="6">
        <v>200</v>
      </c>
      <c r="J24" s="7">
        <f>E24*H24/1344000</f>
        <v>0.84159226190476188</v>
      </c>
      <c r="K24" s="2">
        <f>(E24-$Z$2)/$Z$1</f>
        <v>0.84620749322901001</v>
      </c>
      <c r="L24" s="2">
        <f>(K24-J24)/K24*100</f>
        <v>0.545401850158174</v>
      </c>
      <c r="M24" s="8">
        <f>K24*12.0107</f>
        <v>10.16354433892567</v>
      </c>
      <c r="N24" s="24">
        <f>M24/C24</f>
        <v>5.6307724869394289E-2</v>
      </c>
    </row>
    <row r="25" spans="1:25">
      <c r="A25" t="s">
        <v>65</v>
      </c>
      <c r="C25">
        <v>135.30000000000001</v>
      </c>
      <c r="D25" s="10">
        <v>1</v>
      </c>
      <c r="E25">
        <v>4262</v>
      </c>
      <c r="F25">
        <v>337.45</v>
      </c>
      <c r="H25" s="6">
        <v>200</v>
      </c>
      <c r="J25" s="7">
        <f t="shared" ref="J25:J39" si="5">E25*H25/1344000</f>
        <v>0.63422619047619044</v>
      </c>
      <c r="K25" s="2">
        <f t="shared" ref="K25:K39" si="6">(E25-$Z$2)/$Z$1</f>
        <v>0.63653250075233225</v>
      </c>
      <c r="L25" s="2">
        <f t="shared" ref="L25:L39" si="7">(K25-J25)/K25*100</f>
        <v>0.36232404055031425</v>
      </c>
      <c r="M25" s="8">
        <f t="shared" ref="M25:M39" si="8">K25*12.0107</f>
        <v>7.6452009067860374</v>
      </c>
      <c r="N25" s="24">
        <f t="shared" ref="N25:N39" si="9">M25/C25</f>
        <v>5.6505549939290738E-2</v>
      </c>
    </row>
    <row r="26" spans="1:25">
      <c r="A26" t="s">
        <v>65</v>
      </c>
      <c r="C26">
        <v>257.3</v>
      </c>
      <c r="D26" s="10">
        <v>1</v>
      </c>
      <c r="E26">
        <v>8142.2</v>
      </c>
      <c r="F26">
        <v>609.14</v>
      </c>
      <c r="H26" s="6">
        <v>200</v>
      </c>
      <c r="J26" s="7">
        <f t="shared" si="5"/>
        <v>1.2116369047619047</v>
      </c>
      <c r="K26" s="2">
        <f t="shared" si="6"/>
        <v>1.2203724044538069</v>
      </c>
      <c r="L26" s="2">
        <f t="shared" si="7"/>
        <v>0.71580606542901315</v>
      </c>
      <c r="M26" s="8">
        <f t="shared" si="8"/>
        <v>14.657526838173338</v>
      </c>
      <c r="N26" s="24">
        <f t="shared" si="9"/>
        <v>5.6966680288275701E-2</v>
      </c>
    </row>
    <row r="27" spans="1:25" s="15" customFormat="1">
      <c r="A27" s="15" t="s">
        <v>66</v>
      </c>
      <c r="C27" s="15">
        <v>277.89999999999998</v>
      </c>
      <c r="D27" s="10">
        <v>1</v>
      </c>
      <c r="E27" s="15">
        <v>9794</v>
      </c>
      <c r="F27" s="15">
        <v>732.09</v>
      </c>
      <c r="H27" s="6">
        <v>200</v>
      </c>
      <c r="J27" s="7">
        <f t="shared" si="5"/>
        <v>1.4574404761904762</v>
      </c>
      <c r="K27" s="2">
        <f t="shared" si="6"/>
        <v>1.4689128799277762</v>
      </c>
      <c r="L27" s="2">
        <f t="shared" si="7"/>
        <v>0.78101321692162173</v>
      </c>
      <c r="M27" s="8">
        <f t="shared" si="8"/>
        <v>17.642671926948541</v>
      </c>
      <c r="N27" s="24">
        <f t="shared" si="9"/>
        <v>6.3485685235511125E-2</v>
      </c>
    </row>
    <row r="28" spans="1:25" s="15" customFormat="1">
      <c r="A28" s="15" t="s">
        <v>66</v>
      </c>
      <c r="C28" s="15">
        <v>211.8</v>
      </c>
      <c r="D28" s="10">
        <v>1</v>
      </c>
      <c r="E28" s="15">
        <v>7103.8</v>
      </c>
      <c r="F28" s="15">
        <v>525.45000000000005</v>
      </c>
      <c r="H28" s="6">
        <v>200</v>
      </c>
      <c r="J28" s="7">
        <f t="shared" si="5"/>
        <v>1.0571130952380952</v>
      </c>
      <c r="K28" s="2">
        <f t="shared" si="6"/>
        <v>1.0641280469455312</v>
      </c>
      <c r="L28" s="2">
        <f t="shared" si="7"/>
        <v>0.65922063867893854</v>
      </c>
      <c r="M28" s="8">
        <f t="shared" si="8"/>
        <v>12.780922733448692</v>
      </c>
      <c r="N28" s="24">
        <f t="shared" si="9"/>
        <v>6.034429996906842E-2</v>
      </c>
    </row>
    <row r="29" spans="1:25" s="15" customFormat="1">
      <c r="A29" s="15" t="s">
        <v>66</v>
      </c>
      <c r="C29" s="15">
        <v>128.69999999999999</v>
      </c>
      <c r="D29" s="10">
        <v>1</v>
      </c>
      <c r="E29" s="15">
        <v>4144.5</v>
      </c>
      <c r="F29" s="15">
        <v>310.11</v>
      </c>
      <c r="H29" s="6">
        <v>200</v>
      </c>
      <c r="J29" s="7">
        <f t="shared" si="5"/>
        <v>0.61674107142857137</v>
      </c>
      <c r="K29" s="2">
        <f t="shared" si="6"/>
        <v>0.6188526933493832</v>
      </c>
      <c r="L29" s="2">
        <f t="shared" si="7"/>
        <v>0.3412155983976099</v>
      </c>
      <c r="M29" s="8">
        <f t="shared" si="8"/>
        <v>7.432854044011437</v>
      </c>
      <c r="N29" s="24">
        <f t="shared" si="9"/>
        <v>5.7753333675302547E-2</v>
      </c>
    </row>
    <row r="30" spans="1:25" s="15" customFormat="1">
      <c r="A30" s="15" t="s">
        <v>67</v>
      </c>
      <c r="C30" s="15">
        <v>179.3</v>
      </c>
      <c r="D30" s="10">
        <v>1</v>
      </c>
      <c r="E30" s="15">
        <v>6141.5</v>
      </c>
      <c r="F30" s="15">
        <v>450.52</v>
      </c>
      <c r="H30" s="6">
        <v>200</v>
      </c>
      <c r="J30" s="7">
        <f t="shared" si="5"/>
        <v>0.91391369047619042</v>
      </c>
      <c r="K30" s="2">
        <f t="shared" si="6"/>
        <v>0.91933418597652727</v>
      </c>
      <c r="L30" s="2">
        <f t="shared" si="7"/>
        <v>0.58961100142046174</v>
      </c>
      <c r="M30" s="8">
        <f t="shared" si="8"/>
        <v>11.041847107508277</v>
      </c>
      <c r="N30" s="24">
        <f t="shared" si="9"/>
        <v>6.1583084815997079E-2</v>
      </c>
    </row>
    <row r="31" spans="1:25" s="15" customFormat="1">
      <c r="A31" s="15" t="s">
        <v>67</v>
      </c>
      <c r="C31" s="15">
        <v>218.8</v>
      </c>
      <c r="D31" s="10">
        <v>1</v>
      </c>
      <c r="E31" s="15">
        <v>7346.4</v>
      </c>
      <c r="F31" s="15">
        <v>558.41999999999996</v>
      </c>
      <c r="H31" s="6">
        <v>200</v>
      </c>
      <c r="J31" s="7">
        <f t="shared" si="5"/>
        <v>1.0932142857142857</v>
      </c>
      <c r="K31" s="2">
        <f t="shared" si="6"/>
        <v>1.1006312067408968</v>
      </c>
      <c r="L31" s="2">
        <f t="shared" si="7"/>
        <v>0.6738788598020472</v>
      </c>
      <c r="M31" s="8">
        <f t="shared" si="8"/>
        <v>13.219351234802888</v>
      </c>
      <c r="N31" s="24">
        <f t="shared" si="9"/>
        <v>6.0417510213907163E-2</v>
      </c>
    </row>
    <row r="32" spans="1:25" s="15" customFormat="1">
      <c r="A32" s="15" t="s">
        <v>67</v>
      </c>
      <c r="C32" s="15">
        <v>214.5</v>
      </c>
      <c r="D32" s="10">
        <v>1</v>
      </c>
      <c r="E32" s="15">
        <v>7626.6</v>
      </c>
      <c r="F32" s="15">
        <v>567.72</v>
      </c>
      <c r="H32" s="6">
        <v>200</v>
      </c>
      <c r="J32" s="7">
        <f t="shared" si="5"/>
        <v>1.1349107142857142</v>
      </c>
      <c r="K32" s="2">
        <f t="shared" si="6"/>
        <v>1.1427919049052062</v>
      </c>
      <c r="L32" s="2">
        <f t="shared" si="7"/>
        <v>0.68964354627150903</v>
      </c>
      <c r="M32" s="8">
        <f t="shared" si="8"/>
        <v>13.72573073224496</v>
      </c>
      <c r="N32" s="24">
        <f t="shared" si="9"/>
        <v>6.3989420663146668E-2</v>
      </c>
    </row>
    <row r="33" spans="1:15" s="15" customFormat="1">
      <c r="A33" s="15" t="s">
        <v>68</v>
      </c>
      <c r="C33" s="15">
        <v>143.1</v>
      </c>
      <c r="D33" s="10">
        <v>1</v>
      </c>
      <c r="E33" s="15">
        <v>5161.2</v>
      </c>
      <c r="F33" s="15">
        <v>392.09</v>
      </c>
      <c r="H33" s="6">
        <v>200</v>
      </c>
      <c r="J33" s="7">
        <f t="shared" si="5"/>
        <v>0.76803571428571427</v>
      </c>
      <c r="K33" s="2">
        <f t="shared" si="6"/>
        <v>0.77183192897983754</v>
      </c>
      <c r="L33" s="2">
        <f t="shared" si="7"/>
        <v>0.49184473349539892</v>
      </c>
      <c r="M33" s="8">
        <f t="shared" si="8"/>
        <v>9.2702417493981351</v>
      </c>
      <c r="N33" s="24">
        <f t="shared" si="9"/>
        <v>6.4781563587687885E-2</v>
      </c>
    </row>
    <row r="34" spans="1:15" s="15" customFormat="1">
      <c r="A34" s="15" t="s">
        <v>68</v>
      </c>
      <c r="C34" s="15">
        <v>109.8</v>
      </c>
      <c r="D34" s="10">
        <v>1</v>
      </c>
      <c r="E34" s="15">
        <v>4278.8</v>
      </c>
      <c r="F34" s="15">
        <v>329.42</v>
      </c>
      <c r="H34" s="6">
        <v>200</v>
      </c>
      <c r="J34" s="7">
        <f t="shared" si="5"/>
        <v>0.6367261904761905</v>
      </c>
      <c r="K34" s="2">
        <f t="shared" si="6"/>
        <v>0.63906033704483911</v>
      </c>
      <c r="L34" s="2">
        <f t="shared" si="7"/>
        <v>0.36524666503983583</v>
      </c>
      <c r="M34" s="8">
        <f t="shared" si="8"/>
        <v>7.6755619901444492</v>
      </c>
      <c r="N34" s="24">
        <f t="shared" si="9"/>
        <v>6.9904936157964018E-2</v>
      </c>
    </row>
    <row r="35" spans="1:15" s="15" customFormat="1">
      <c r="A35" s="15" t="s">
        <v>68</v>
      </c>
      <c r="C35" s="15">
        <v>171.5</v>
      </c>
      <c r="D35" s="10">
        <v>1</v>
      </c>
      <c r="E35" s="15">
        <v>6411.4</v>
      </c>
      <c r="F35" s="15">
        <v>474.97</v>
      </c>
      <c r="H35" s="6">
        <v>200</v>
      </c>
      <c r="J35" s="7">
        <f t="shared" si="5"/>
        <v>0.95407738095238093</v>
      </c>
      <c r="K35" s="2">
        <f t="shared" si="6"/>
        <v>0.95994507974721643</v>
      </c>
      <c r="L35" s="2">
        <f t="shared" si="7"/>
        <v>0.61125359342230878</v>
      </c>
      <c r="M35" s="8">
        <f t="shared" si="8"/>
        <v>11.529612369319892</v>
      </c>
      <c r="N35" s="24">
        <f t="shared" si="9"/>
        <v>6.7228060462506664E-2</v>
      </c>
    </row>
    <row r="36" spans="1:15" s="15" customFormat="1">
      <c r="A36" s="15" t="s">
        <v>69</v>
      </c>
      <c r="C36" s="15">
        <v>77.3</v>
      </c>
      <c r="D36" s="10">
        <v>1</v>
      </c>
      <c r="E36" s="15">
        <v>2450.6</v>
      </c>
      <c r="F36" s="15">
        <v>182.55</v>
      </c>
      <c r="H36" s="6">
        <v>200</v>
      </c>
      <c r="J36" s="7">
        <f t="shared" si="5"/>
        <v>0.36467261904761905</v>
      </c>
      <c r="K36" s="2">
        <f t="shared" si="6"/>
        <v>0.36397758049954859</v>
      </c>
      <c r="L36" s="2">
        <f t="shared" si="7"/>
        <v>-0.19095641745750905</v>
      </c>
      <c r="M36" s="8">
        <f t="shared" si="8"/>
        <v>4.3716255261059285</v>
      </c>
      <c r="N36" s="24">
        <f t="shared" si="9"/>
        <v>5.6554017155316022E-2</v>
      </c>
      <c r="O36" s="15">
        <f>K36*100.0869</f>
        <v>36.429387701700271</v>
      </c>
    </row>
    <row r="37" spans="1:15" s="15" customFormat="1">
      <c r="A37" s="15" t="s">
        <v>69</v>
      </c>
      <c r="C37" s="15">
        <v>146</v>
      </c>
      <c r="D37" s="10">
        <v>1</v>
      </c>
      <c r="E37" s="15">
        <v>4598.7</v>
      </c>
      <c r="F37" s="15">
        <v>345.86</v>
      </c>
      <c r="H37" s="6">
        <v>200</v>
      </c>
      <c r="J37" s="7">
        <f t="shared" si="5"/>
        <v>0.68433035714285717</v>
      </c>
      <c r="K37" s="2">
        <f t="shared" si="6"/>
        <v>0.68719455311465549</v>
      </c>
      <c r="L37" s="2">
        <f t="shared" si="7"/>
        <v>0.41679549973389318</v>
      </c>
      <c r="M37" s="8">
        <f t="shared" si="8"/>
        <v>8.2536876190941921</v>
      </c>
      <c r="N37" s="24">
        <f t="shared" si="9"/>
        <v>5.6532106980097203E-2</v>
      </c>
      <c r="O37" s="15">
        <f t="shared" ref="O37:O39" si="10">K37*100.0869</f>
        <v>68.779172518131219</v>
      </c>
    </row>
    <row r="38" spans="1:15" s="15" customFormat="1">
      <c r="A38" s="15" t="s">
        <v>64</v>
      </c>
      <c r="C38" s="15">
        <v>194.8</v>
      </c>
      <c r="D38" s="10">
        <v>1</v>
      </c>
      <c r="E38" s="15">
        <v>13098</v>
      </c>
      <c r="F38" s="15">
        <v>980.39</v>
      </c>
      <c r="H38" s="6">
        <v>200</v>
      </c>
      <c r="J38" s="7">
        <f t="shared" si="5"/>
        <v>1.9491071428571429</v>
      </c>
      <c r="K38" s="2">
        <f t="shared" si="6"/>
        <v>1.9660540174541079</v>
      </c>
      <c r="L38" s="2">
        <f t="shared" si="7"/>
        <v>0.86197400714909689</v>
      </c>
      <c r="M38" s="8">
        <f t="shared" si="8"/>
        <v>23.613684987436052</v>
      </c>
      <c r="N38" s="24">
        <f t="shared" si="9"/>
        <v>0.12122014880613989</v>
      </c>
      <c r="O38" s="15">
        <f t="shared" si="10"/>
        <v>196.77625183952756</v>
      </c>
    </row>
    <row r="39" spans="1:15" s="15" customFormat="1">
      <c r="A39" s="15" t="s">
        <v>64</v>
      </c>
      <c r="C39" s="15">
        <v>90.4</v>
      </c>
      <c r="D39" s="10">
        <v>1</v>
      </c>
      <c r="E39" s="15">
        <v>6141.3</v>
      </c>
      <c r="F39" s="15">
        <v>455.96</v>
      </c>
      <c r="H39" s="6">
        <v>200</v>
      </c>
      <c r="J39" s="7">
        <f t="shared" si="5"/>
        <v>0.91388392857142853</v>
      </c>
      <c r="K39" s="2">
        <f t="shared" si="6"/>
        <v>0.91930409268733082</v>
      </c>
      <c r="L39" s="2">
        <f t="shared" si="7"/>
        <v>0.58959425493885753</v>
      </c>
      <c r="M39" s="8">
        <f t="shared" si="8"/>
        <v>11.041485666039724</v>
      </c>
      <c r="N39" s="24">
        <f t="shared" si="9"/>
        <v>0.12214032816415624</v>
      </c>
      <c r="O39" s="15">
        <f t="shared" si="10"/>
        <v>92.010296794387614</v>
      </c>
    </row>
    <row r="40" spans="1:15" s="15" customFormat="1">
      <c r="A40" s="15" t="s">
        <v>64</v>
      </c>
      <c r="C40" s="15">
        <v>46.9</v>
      </c>
      <c r="D40" s="10">
        <v>1</v>
      </c>
      <c r="E40" s="15">
        <v>2969.3</v>
      </c>
      <c r="F40" s="15">
        <v>221.1</v>
      </c>
      <c r="H40" s="6">
        <v>200</v>
      </c>
      <c r="J40" s="7">
        <f t="shared" ref="J40:J41" si="11">E40*H40/1344000</f>
        <v>0.44186011904761907</v>
      </c>
      <c r="K40" s="2">
        <f t="shared" ref="K40:K41" si="12">(E40-$Z$2)/$Z$1</f>
        <v>0.4420245260306952</v>
      </c>
      <c r="L40" s="2">
        <f t="shared" ref="L40:L41" si="13">(K40-J40)/K40*100</f>
        <v>3.7194086163605672E-2</v>
      </c>
      <c r="M40" s="8">
        <f t="shared" ref="M40:M41" si="14">K40*12.0107</f>
        <v>5.3090239747968706</v>
      </c>
      <c r="N40" s="24">
        <f t="shared" ref="N40:N41" si="15">M40/C40</f>
        <v>0.1131988054327691</v>
      </c>
    </row>
    <row r="41" spans="1:15">
      <c r="A41" s="15" t="s">
        <v>64</v>
      </c>
      <c r="C41" s="15">
        <v>153.80000000000001</v>
      </c>
      <c r="D41" s="10">
        <v>1</v>
      </c>
      <c r="E41" s="15">
        <v>10185</v>
      </c>
      <c r="F41" s="15">
        <v>749.28</v>
      </c>
      <c r="G41" s="15"/>
      <c r="H41" s="6">
        <v>200</v>
      </c>
      <c r="I41" s="15"/>
      <c r="J41" s="7">
        <f t="shared" si="11"/>
        <v>1.515625</v>
      </c>
      <c r="K41" s="2">
        <f t="shared" si="12"/>
        <v>1.5277452603069517</v>
      </c>
      <c r="L41" s="2">
        <f t="shared" si="13"/>
        <v>0.79334301482411418</v>
      </c>
      <c r="M41" s="8">
        <f t="shared" si="14"/>
        <v>18.349289997968704</v>
      </c>
      <c r="N41" s="24">
        <f t="shared" si="15"/>
        <v>0.11930617683984852</v>
      </c>
    </row>
    <row r="42" spans="1:15">
      <c r="D42" s="10"/>
      <c r="H42" s="6"/>
      <c r="J42" s="7"/>
      <c r="K42" s="2"/>
      <c r="L42" s="2"/>
    </row>
    <row r="43" spans="1:15">
      <c r="D43" s="10"/>
      <c r="H43" s="6"/>
      <c r="J43" s="7"/>
      <c r="K43" s="2"/>
      <c r="L43" s="2"/>
    </row>
    <row r="44" spans="1:15">
      <c r="D44" s="10"/>
      <c r="H44" s="6"/>
      <c r="J44" s="7"/>
      <c r="K44" s="2"/>
      <c r="L44" s="2"/>
    </row>
    <row r="45" spans="1:15">
      <c r="D45" s="10"/>
      <c r="H45" s="6"/>
      <c r="J45" s="7"/>
      <c r="K45" s="2"/>
      <c r="L45" s="2"/>
    </row>
    <row r="46" spans="1:15">
      <c r="D46" s="10"/>
      <c r="H46" s="6"/>
      <c r="J46" s="7"/>
      <c r="K46" s="2"/>
      <c r="L46" s="2"/>
    </row>
    <row r="47" spans="1:15">
      <c r="D47" s="10"/>
      <c r="H47" s="6"/>
      <c r="J47" s="7"/>
      <c r="K47" s="2"/>
      <c r="L47" s="2"/>
    </row>
    <row r="48" spans="1:15">
      <c r="D48" s="10"/>
      <c r="H48" s="6"/>
      <c r="J48" s="7"/>
      <c r="K48" s="2"/>
      <c r="L48" s="2"/>
    </row>
    <row r="49" spans="4:25">
      <c r="D49" s="10"/>
      <c r="H49" s="6"/>
      <c r="J49" s="7"/>
      <c r="K49" s="2"/>
      <c r="L49" s="2"/>
    </row>
    <row r="50" spans="4:25">
      <c r="D50" s="10"/>
      <c r="H50" s="6"/>
      <c r="J50" s="7"/>
      <c r="K50" s="2"/>
      <c r="L50" s="2"/>
    </row>
    <row r="51" spans="4:25">
      <c r="D51" s="10"/>
      <c r="H51" s="6"/>
      <c r="J51" s="7"/>
      <c r="K51" s="2"/>
      <c r="L51" s="2"/>
    </row>
    <row r="52" spans="4:25">
      <c r="D52" s="10"/>
      <c r="H52" s="6"/>
      <c r="J52" s="7"/>
      <c r="K52" s="2"/>
      <c r="L52" s="2"/>
    </row>
    <row r="53" spans="4:25">
      <c r="D53" s="10"/>
      <c r="H53" s="6"/>
      <c r="J53" s="7"/>
      <c r="K53" s="2"/>
      <c r="L53" s="2"/>
    </row>
    <row r="54" spans="4:25">
      <c r="D54" s="10"/>
      <c r="H54" s="6"/>
      <c r="J54" s="7"/>
      <c r="K54" s="2"/>
      <c r="L54" s="2"/>
    </row>
    <row r="55" spans="4:25">
      <c r="D55" s="10"/>
      <c r="H55" s="6"/>
      <c r="J55" s="7"/>
      <c r="K55" s="2"/>
      <c r="L55" s="2"/>
    </row>
    <row r="56" spans="4:25">
      <c r="D56" s="10"/>
      <c r="H56" s="6"/>
      <c r="J56" s="7"/>
      <c r="K56" s="2"/>
      <c r="L56" s="2"/>
      <c r="Y56" s="4"/>
    </row>
    <row r="57" spans="4:25">
      <c r="J57" s="1"/>
      <c r="K57" s="2"/>
      <c r="L57" s="2"/>
    </row>
    <row r="58" spans="4:25">
      <c r="J58" s="1"/>
      <c r="K58" s="2"/>
      <c r="L58" s="2"/>
      <c r="Y58" s="4"/>
    </row>
    <row r="59" spans="4:25">
      <c r="J59" s="1"/>
      <c r="K59" s="2"/>
      <c r="L59" s="2"/>
      <c r="Y59" s="4"/>
    </row>
    <row r="60" spans="4:25">
      <c r="J60" s="1"/>
      <c r="K60" s="2"/>
      <c r="L60" s="2"/>
      <c r="Y60" s="4"/>
    </row>
    <row r="61" spans="4:25">
      <c r="J61" s="1"/>
      <c r="K61" s="2"/>
      <c r="L61" s="2"/>
      <c r="Y61" s="4"/>
    </row>
    <row r="62" spans="4:25">
      <c r="J62" s="1"/>
      <c r="K62" s="2"/>
      <c r="L62" s="2"/>
      <c r="Y62" s="4"/>
    </row>
    <row r="63" spans="4:25">
      <c r="J63" s="1"/>
      <c r="K63" s="2"/>
      <c r="L63" s="2"/>
      <c r="Y63" s="4"/>
    </row>
    <row r="64" spans="4:25">
      <c r="J64" s="1"/>
      <c r="K64" s="2"/>
      <c r="L64" s="2"/>
      <c r="Y64" s="4"/>
    </row>
    <row r="65" spans="10:25">
      <c r="J65" s="1"/>
      <c r="K65" s="2"/>
      <c r="L65" s="2"/>
      <c r="Y65" s="4"/>
    </row>
    <row r="66" spans="10:25">
      <c r="J66" s="1"/>
      <c r="K66" s="2"/>
      <c r="L66" s="2"/>
      <c r="Y66" s="4"/>
    </row>
    <row r="67" spans="10:25">
      <c r="J67" s="1"/>
      <c r="K67" s="2"/>
      <c r="L67" s="2"/>
      <c r="Y67" s="4"/>
    </row>
    <row r="68" spans="10:25">
      <c r="J68" s="1"/>
      <c r="K68" s="2"/>
      <c r="L68" s="2"/>
      <c r="Y68" s="4"/>
    </row>
    <row r="69" spans="10:25">
      <c r="J69" s="1"/>
      <c r="K69" s="2"/>
      <c r="L69" s="2"/>
      <c r="Y69" s="4"/>
    </row>
    <row r="70" spans="10:25">
      <c r="J70" s="1"/>
      <c r="K70" s="2"/>
      <c r="L70" s="2"/>
      <c r="Y70" s="4"/>
    </row>
    <row r="71" spans="10:25">
      <c r="J71" s="1"/>
      <c r="K71" s="2"/>
      <c r="L71" s="2"/>
      <c r="Y71" s="4"/>
    </row>
    <row r="72" spans="10:25">
      <c r="J72" s="1"/>
      <c r="K72" s="2"/>
      <c r="L72" s="2"/>
      <c r="Y72" s="4"/>
    </row>
    <row r="73" spans="10:25">
      <c r="J73" s="1"/>
      <c r="K73" s="2"/>
      <c r="L73" s="2"/>
      <c r="Y73" s="4"/>
    </row>
    <row r="74" spans="10:25">
      <c r="J74" s="1"/>
      <c r="K74" s="2"/>
      <c r="L74" s="2"/>
      <c r="Y74" s="4"/>
    </row>
    <row r="75" spans="10:25">
      <c r="J75" s="1"/>
      <c r="K75" s="2"/>
      <c r="L75" s="2"/>
      <c r="Y75" s="4"/>
    </row>
    <row r="76" spans="10:25">
      <c r="J76" s="1"/>
      <c r="K76" s="2"/>
      <c r="L76" s="2"/>
      <c r="Y76" s="4"/>
    </row>
    <row r="77" spans="10:25">
      <c r="J77" s="1"/>
      <c r="K77" s="2"/>
      <c r="L77" s="2"/>
      <c r="Y77" s="4"/>
    </row>
    <row r="78" spans="10:25">
      <c r="J78" s="1"/>
      <c r="K78" s="2"/>
      <c r="L78" s="2"/>
      <c r="Y78" s="4"/>
    </row>
    <row r="79" spans="10:25">
      <c r="J79" s="1"/>
      <c r="K79" s="2"/>
      <c r="L79" s="2"/>
      <c r="Y79" s="4"/>
    </row>
    <row r="80" spans="10:25">
      <c r="J80" s="1"/>
      <c r="K80" s="2"/>
      <c r="L80" s="2"/>
      <c r="Y80" s="4"/>
    </row>
    <row r="81" spans="10:25">
      <c r="J81" s="1"/>
      <c r="K81" s="2"/>
      <c r="L81" s="2"/>
      <c r="Y81" s="4"/>
    </row>
    <row r="82" spans="10:25">
      <c r="J82" s="1"/>
      <c r="K82" s="2"/>
      <c r="L82" s="2"/>
      <c r="Y82" s="4"/>
    </row>
    <row r="83" spans="10:25">
      <c r="J83" s="1"/>
      <c r="K83" s="2"/>
      <c r="L83" s="2"/>
      <c r="Y83" s="4"/>
    </row>
    <row r="84" spans="10:25">
      <c r="J84" s="1"/>
      <c r="K84" s="2"/>
      <c r="L84" s="2"/>
      <c r="Y84" s="4"/>
    </row>
    <row r="85" spans="10:25">
      <c r="J85" s="1"/>
      <c r="K85" s="2"/>
      <c r="L85" s="2"/>
      <c r="Y85" s="4"/>
    </row>
    <row r="86" spans="10:25">
      <c r="J86" s="1"/>
      <c r="K86" s="2"/>
      <c r="L86" s="2"/>
      <c r="Y86" s="4"/>
    </row>
  </sheetData>
  <pageMargins left="0.75" right="0.75" top="1" bottom="1" header="0.5" footer="0.5"/>
  <pageSetup orientation="portrait" horizontalDpi="4294967292" verticalDpi="4294967292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03"/>
  <sheetViews>
    <sheetView workbookViewId="0">
      <selection activeCell="I42" sqref="I42"/>
    </sheetView>
  </sheetViews>
  <sheetFormatPr baseColWidth="10" defaultColWidth="8.83203125" defaultRowHeight="14" x14ac:dyDescent="0"/>
  <cols>
    <col min="1" max="1" width="9.1640625" style="11" customWidth="1"/>
    <col min="3" max="3" width="10" customWidth="1"/>
    <col min="7" max="7" width="9.83203125" style="10" customWidth="1"/>
    <col min="8" max="8" width="9.1640625" style="2" customWidth="1"/>
    <col min="9" max="9" width="11.6640625" style="2" customWidth="1"/>
    <col min="10" max="10" width="10.83203125" customWidth="1"/>
    <col min="12" max="12" width="10.1640625" customWidth="1"/>
    <col min="14" max="14" width="14" style="10" customWidth="1"/>
    <col min="15" max="15" width="12.83203125" style="10" customWidth="1"/>
    <col min="25" max="25" width="11.83203125" bestFit="1" customWidth="1"/>
  </cols>
  <sheetData>
    <row r="1" spans="1:25" s="18" customFormat="1" ht="45" customHeight="1">
      <c r="A1" s="18" t="s">
        <v>29</v>
      </c>
      <c r="B1" s="18" t="s">
        <v>86</v>
      </c>
      <c r="C1" s="18" t="s">
        <v>30</v>
      </c>
      <c r="D1" s="18" t="s">
        <v>87</v>
      </c>
      <c r="E1" s="18" t="s">
        <v>87</v>
      </c>
      <c r="F1" s="18" t="s">
        <v>88</v>
      </c>
      <c r="G1" s="18" t="s">
        <v>89</v>
      </c>
      <c r="H1" s="18" t="s">
        <v>31</v>
      </c>
      <c r="I1" s="94" t="s">
        <v>43</v>
      </c>
      <c r="J1" s="95" t="s">
        <v>43</v>
      </c>
      <c r="K1" s="20" t="s">
        <v>90</v>
      </c>
      <c r="L1" s="18" t="s">
        <v>91</v>
      </c>
      <c r="N1" s="19" t="s">
        <v>32</v>
      </c>
      <c r="O1" s="18" t="s">
        <v>33</v>
      </c>
      <c r="P1" s="18" t="s">
        <v>34</v>
      </c>
      <c r="Q1" s="18" t="s">
        <v>35</v>
      </c>
    </row>
    <row r="2" spans="1:25" s="15" customFormat="1">
      <c r="A2" s="21"/>
      <c r="B2" s="96" t="s">
        <v>39</v>
      </c>
      <c r="C2" s="96" t="s">
        <v>18</v>
      </c>
      <c r="D2" s="96" t="s">
        <v>18</v>
      </c>
      <c r="E2" s="96" t="s">
        <v>39</v>
      </c>
      <c r="F2" s="15" t="s">
        <v>92</v>
      </c>
      <c r="I2" s="97" t="s">
        <v>49</v>
      </c>
      <c r="J2" s="98" t="s">
        <v>49</v>
      </c>
      <c r="K2" s="17"/>
      <c r="L2" s="96" t="s">
        <v>93</v>
      </c>
      <c r="N2" s="16"/>
      <c r="Y2" s="22"/>
    </row>
    <row r="3" spans="1:25" s="15" customFormat="1">
      <c r="A3" s="21"/>
      <c r="I3" s="97" t="s">
        <v>50</v>
      </c>
      <c r="J3" s="98" t="s">
        <v>51</v>
      </c>
      <c r="K3" s="17"/>
      <c r="N3" s="16"/>
      <c r="Y3" s="22"/>
    </row>
    <row r="4" spans="1:25" s="15" customFormat="1">
      <c r="A4" s="21" t="str">
        <f>'04.28.17'!A24</f>
        <v>AL19-20</v>
      </c>
      <c r="B4" s="15">
        <f>'04.28.17'!C24</f>
        <v>180.5</v>
      </c>
      <c r="C4" s="17">
        <f>'04.28.17'!K24</f>
        <v>0.84620749322901001</v>
      </c>
      <c r="D4" s="17">
        <f>C4-H4</f>
        <v>0.84041130548077814</v>
      </c>
      <c r="E4" s="17">
        <f>D4*12.0107</f>
        <v>10.093928066737982</v>
      </c>
      <c r="F4" s="17">
        <f>D4/B4</f>
        <v>4.6560183129128983E-3</v>
      </c>
      <c r="G4" s="99">
        <f>F4*12.0107</f>
        <v>5.592203915090295E-2</v>
      </c>
      <c r="H4" s="17">
        <v>5.7961877482319247E-3</v>
      </c>
      <c r="I4" s="17">
        <v>63.977123174710187</v>
      </c>
      <c r="J4" s="15">
        <v>63977.123174710185</v>
      </c>
      <c r="K4" s="15">
        <f>8.19*24</f>
        <v>196.56</v>
      </c>
      <c r="L4" s="15">
        <f>G4*J4</f>
        <v>3577.7311869382834</v>
      </c>
      <c r="N4" s="17">
        <f>L4/1000/0.5/(K4/24)</f>
        <v>0.87368282953315846</v>
      </c>
      <c r="O4" s="16"/>
    </row>
    <row r="5" spans="1:25" s="15" customFormat="1">
      <c r="A5" s="21" t="str">
        <f>'04.28.17'!A25</f>
        <v>AL19-20</v>
      </c>
      <c r="B5" s="15">
        <f>'04.28.17'!C25</f>
        <v>135.30000000000001</v>
      </c>
      <c r="C5" s="17">
        <f>'04.28.17'!K25</f>
        <v>0.63653250075233225</v>
      </c>
      <c r="D5" s="17">
        <f t="shared" ref="D5:D17" si="0">C5-H5</f>
        <v>0.63073631300410038</v>
      </c>
      <c r="E5" s="17">
        <f t="shared" ref="E5:E29" si="1">D5*12.0107</f>
        <v>7.5755846345983482</v>
      </c>
      <c r="F5" s="17">
        <f t="shared" ref="F5:F17" si="2">D5/B5</f>
        <v>4.6617613673621602E-3</v>
      </c>
      <c r="G5" s="99">
        <f t="shared" ref="G5:G17" si="3">F5*12.0107</f>
        <v>5.5991017254976697E-2</v>
      </c>
      <c r="H5" s="17">
        <v>5.7961877482319247E-3</v>
      </c>
      <c r="I5" s="17">
        <v>63.977123174710187</v>
      </c>
      <c r="J5" s="15">
        <v>63977.123174710185</v>
      </c>
      <c r="K5" s="15">
        <f t="shared" ref="K5:K9" si="4">8.19*24</f>
        <v>196.56</v>
      </c>
      <c r="L5" s="15">
        <f t="shared" ref="L5:L17" si="5">G5*J5</f>
        <v>3582.1442075989676</v>
      </c>
      <c r="N5" s="17">
        <f t="shared" ref="N5:N17" si="6">L5/1000/0.5/(K5/24)</f>
        <v>0.87476049025615821</v>
      </c>
      <c r="O5" s="16"/>
    </row>
    <row r="6" spans="1:25" s="15" customFormat="1">
      <c r="A6" s="21" t="str">
        <f>'04.28.17'!A26</f>
        <v>AL19-20</v>
      </c>
      <c r="B6" s="15">
        <f>'04.28.17'!C26</f>
        <v>257.3</v>
      </c>
      <c r="C6" s="17">
        <f>'04.28.17'!K26</f>
        <v>1.2203724044538069</v>
      </c>
      <c r="D6" s="17">
        <f t="shared" si="0"/>
        <v>1.2145762167055749</v>
      </c>
      <c r="E6" s="17">
        <f t="shared" si="1"/>
        <v>14.587910565985649</v>
      </c>
      <c r="F6" s="17">
        <f t="shared" si="2"/>
        <v>4.7204672238848619E-3</v>
      </c>
      <c r="G6" s="99">
        <f t="shared" si="3"/>
        <v>5.6696115685913914E-2</v>
      </c>
      <c r="H6" s="17">
        <v>5.7961877482319247E-3</v>
      </c>
      <c r="I6" s="17">
        <v>63.977123174710187</v>
      </c>
      <c r="J6" s="15">
        <v>63977.123174710185</v>
      </c>
      <c r="K6" s="15">
        <f t="shared" si="4"/>
        <v>196.56</v>
      </c>
      <c r="L6" s="15">
        <f t="shared" si="5"/>
        <v>3627.2543767653328</v>
      </c>
      <c r="N6" s="17">
        <f t="shared" si="6"/>
        <v>0.88577640458249896</v>
      </c>
      <c r="O6" s="17">
        <f>AVERAGE(N4:N6)</f>
        <v>0.87807324145727195</v>
      </c>
      <c r="P6" s="17">
        <f>STDEV(N4:N6)</f>
        <v>6.6928603570422553E-3</v>
      </c>
      <c r="Q6" s="100">
        <f>P6/O6</f>
        <v>7.6222119534523338E-3</v>
      </c>
    </row>
    <row r="7" spans="1:25" s="15" customFormat="1">
      <c r="A7" s="21" t="str">
        <f>'04.28.17'!A27</f>
        <v>AL19-5</v>
      </c>
      <c r="B7" s="15">
        <f>'04.28.17'!C27</f>
        <v>277.89999999999998</v>
      </c>
      <c r="C7" s="17">
        <f>'04.28.17'!K27</f>
        <v>1.4689128799277762</v>
      </c>
      <c r="D7" s="17">
        <f t="shared" si="0"/>
        <v>1.4631166921795442</v>
      </c>
      <c r="E7" s="17">
        <f t="shared" si="1"/>
        <v>17.57305565476085</v>
      </c>
      <c r="F7" s="17">
        <f t="shared" si="2"/>
        <v>5.2649035342912714E-3</v>
      </c>
      <c r="G7" s="99">
        <f t="shared" si="3"/>
        <v>6.3235176879312169E-2</v>
      </c>
      <c r="H7" s="17">
        <v>5.7961877482319247E-3</v>
      </c>
      <c r="I7" s="17">
        <v>127.75287962755803</v>
      </c>
      <c r="J7" s="15">
        <v>127752.87962755802</v>
      </c>
      <c r="K7" s="15">
        <f t="shared" si="4"/>
        <v>196.56</v>
      </c>
      <c r="L7" s="15">
        <f t="shared" si="5"/>
        <v>8078.4759400901075</v>
      </c>
      <c r="N7" s="17">
        <f t="shared" si="6"/>
        <v>1.9727657973358019</v>
      </c>
      <c r="O7" s="16"/>
      <c r="P7" s="16"/>
      <c r="Q7" s="16"/>
      <c r="R7" s="23"/>
    </row>
    <row r="8" spans="1:25" s="15" customFormat="1">
      <c r="A8" s="21" t="str">
        <f>'04.28.17'!A28</f>
        <v>AL19-5</v>
      </c>
      <c r="B8" s="15">
        <f>'04.28.17'!C28</f>
        <v>211.8</v>
      </c>
      <c r="C8" s="17">
        <f>'04.28.17'!K28</f>
        <v>1.0641280469455312</v>
      </c>
      <c r="D8" s="17">
        <f t="shared" si="0"/>
        <v>1.0583318591972992</v>
      </c>
      <c r="E8" s="17">
        <f t="shared" si="1"/>
        <v>12.711306461261001</v>
      </c>
      <c r="F8" s="17">
        <f t="shared" si="2"/>
        <v>4.9968454164178427E-3</v>
      </c>
      <c r="G8" s="99">
        <f t="shared" si="3"/>
        <v>6.001561124296978E-2</v>
      </c>
      <c r="H8" s="17">
        <v>5.7961877482319247E-3</v>
      </c>
      <c r="I8" s="17">
        <v>127.75287962755803</v>
      </c>
      <c r="J8" s="15">
        <v>127752.87962755802</v>
      </c>
      <c r="K8" s="15">
        <f t="shared" si="4"/>
        <v>196.56</v>
      </c>
      <c r="L8" s="15">
        <f t="shared" si="5"/>
        <v>7667.1671588974359</v>
      </c>
      <c r="N8" s="17">
        <f t="shared" si="6"/>
        <v>1.8723240925268465</v>
      </c>
      <c r="O8" s="16"/>
    </row>
    <row r="9" spans="1:25" s="15" customFormat="1">
      <c r="A9" s="21" t="str">
        <f>'04.28.17'!A29</f>
        <v>AL19-5</v>
      </c>
      <c r="B9" s="15">
        <f>'04.28.17'!C29</f>
        <v>128.69999999999999</v>
      </c>
      <c r="C9" s="17">
        <f>'04.28.17'!K29</f>
        <v>0.6188526933493832</v>
      </c>
      <c r="D9" s="17">
        <f t="shared" si="0"/>
        <v>0.61305650560115132</v>
      </c>
      <c r="E9" s="17">
        <f t="shared" si="1"/>
        <v>7.3632377718237478</v>
      </c>
      <c r="F9" s="17">
        <f t="shared" si="2"/>
        <v>4.7634538119747582E-3</v>
      </c>
      <c r="G9" s="99">
        <f t="shared" si="3"/>
        <v>5.721241469948523E-2</v>
      </c>
      <c r="H9" s="17">
        <v>5.7961877482319247E-3</v>
      </c>
      <c r="I9" s="17">
        <v>127.75287962755803</v>
      </c>
      <c r="J9" s="15">
        <v>127752.87962755802</v>
      </c>
      <c r="K9" s="15">
        <f t="shared" si="4"/>
        <v>196.56</v>
      </c>
      <c r="L9" s="15">
        <f t="shared" si="5"/>
        <v>7309.0507283052675</v>
      </c>
      <c r="N9" s="17">
        <f t="shared" si="6"/>
        <v>1.7848719727241191</v>
      </c>
      <c r="O9" s="17">
        <f>AVERAGE(N7:N9)</f>
        <v>1.8766539541955891</v>
      </c>
      <c r="P9" s="17">
        <f>STDEV(N7:N9)</f>
        <v>9.4021716152994622E-2</v>
      </c>
      <c r="Q9" s="100">
        <f>P9/O9</f>
        <v>5.0100720989499734E-2</v>
      </c>
    </row>
    <row r="10" spans="1:25" s="15" customFormat="1">
      <c r="A10" s="21" t="str">
        <f>'04.28.17'!A30</f>
        <v>AL1-5</v>
      </c>
      <c r="B10" s="15">
        <f>'04.28.17'!C30</f>
        <v>179.3</v>
      </c>
      <c r="C10" s="17">
        <f>'04.28.17'!K30</f>
        <v>0.91933418597652727</v>
      </c>
      <c r="D10" s="17">
        <f t="shared" si="0"/>
        <v>0.9135379982282954</v>
      </c>
      <c r="E10" s="17">
        <f t="shared" si="1"/>
        <v>10.972230835320588</v>
      </c>
      <c r="F10" s="17">
        <f t="shared" si="2"/>
        <v>5.0950250877205543E-3</v>
      </c>
      <c r="G10" s="99">
        <f t="shared" si="3"/>
        <v>6.1194817821085261E-2</v>
      </c>
      <c r="H10" s="17">
        <v>5.7961877482319247E-3</v>
      </c>
      <c r="I10" s="17">
        <v>171.78164341482145</v>
      </c>
      <c r="J10" s="15">
        <v>171781.64341482145</v>
      </c>
      <c r="K10" s="15">
        <f>18*24</f>
        <v>432</v>
      </c>
      <c r="L10" s="15">
        <f t="shared" si="5"/>
        <v>10512.14637377663</v>
      </c>
      <c r="N10" s="17">
        <f t="shared" si="6"/>
        <v>1.168016263752959</v>
      </c>
      <c r="O10" s="16"/>
      <c r="Y10" s="22"/>
    </row>
    <row r="11" spans="1:25" s="15" customFormat="1">
      <c r="A11" s="21" t="str">
        <f>'04.28.17'!A31</f>
        <v>AL1-5</v>
      </c>
      <c r="B11" s="15">
        <f>'04.28.17'!C31</f>
        <v>218.8</v>
      </c>
      <c r="C11" s="17">
        <f>'04.28.17'!K31</f>
        <v>1.1006312067408968</v>
      </c>
      <c r="D11" s="17">
        <f t="shared" si="0"/>
        <v>1.0948350189926648</v>
      </c>
      <c r="E11" s="17">
        <f t="shared" si="1"/>
        <v>13.149734962615199</v>
      </c>
      <c r="F11" s="17">
        <f t="shared" si="2"/>
        <v>5.0038163573704973E-3</v>
      </c>
      <c r="G11" s="99">
        <f t="shared" si="3"/>
        <v>6.0099337123469834E-2</v>
      </c>
      <c r="H11" s="17">
        <v>5.7961877482319247E-3</v>
      </c>
      <c r="I11" s="17">
        <v>171.78164341482145</v>
      </c>
      <c r="J11" s="15">
        <v>171781.64341482145</v>
      </c>
      <c r="K11" s="15">
        <f t="shared" ref="K11:K17" si="7">18*24</f>
        <v>432</v>
      </c>
      <c r="L11" s="15">
        <f t="shared" si="5"/>
        <v>10323.962899211036</v>
      </c>
      <c r="N11" s="17">
        <f t="shared" si="6"/>
        <v>1.1471069888012262</v>
      </c>
      <c r="O11" s="16"/>
      <c r="Y11" s="22"/>
    </row>
    <row r="12" spans="1:25" s="15" customFormat="1">
      <c r="A12" s="21" t="str">
        <f>'04.28.17'!A32</f>
        <v>AL1-5</v>
      </c>
      <c r="B12" s="15">
        <f>'04.28.17'!C32</f>
        <v>214.5</v>
      </c>
      <c r="C12" s="17">
        <f>'04.28.17'!K32</f>
        <v>1.1427919049052062</v>
      </c>
      <c r="D12" s="17">
        <f t="shared" si="0"/>
        <v>1.1369957171569742</v>
      </c>
      <c r="E12" s="17">
        <f t="shared" si="1"/>
        <v>13.656114460057271</v>
      </c>
      <c r="F12" s="17">
        <f t="shared" si="2"/>
        <v>5.3006793340651479E-3</v>
      </c>
      <c r="G12" s="99">
        <f t="shared" si="3"/>
        <v>6.3664869277656272E-2</v>
      </c>
      <c r="H12" s="17">
        <v>5.7961877482319247E-3</v>
      </c>
      <c r="I12" s="17">
        <v>171.78164341482145</v>
      </c>
      <c r="J12" s="15">
        <v>171781.64341482145</v>
      </c>
      <c r="K12" s="15">
        <f t="shared" si="7"/>
        <v>432</v>
      </c>
      <c r="L12" s="15">
        <f t="shared" si="5"/>
        <v>10936.455872305571</v>
      </c>
      <c r="N12" s="17">
        <f t="shared" si="6"/>
        <v>1.2151617635895078</v>
      </c>
      <c r="O12" s="17">
        <f>AVERAGE(N10:N12)</f>
        <v>1.1767616720478977</v>
      </c>
      <c r="P12" s="17">
        <f>STDEV(N10:N12)</f>
        <v>3.4860073401454833E-2</v>
      </c>
      <c r="Q12" s="100">
        <f>P12/O12</f>
        <v>2.9623732850500184E-2</v>
      </c>
    </row>
    <row r="13" spans="1:25" s="15" customFormat="1">
      <c r="A13" s="21" t="str">
        <f>'04.28.17'!A33</f>
        <v>AL1-6</v>
      </c>
      <c r="B13" s="15">
        <f>'04.28.17'!C33</f>
        <v>143.1</v>
      </c>
      <c r="C13" s="17">
        <f>'04.28.17'!K33</f>
        <v>0.77183192897983754</v>
      </c>
      <c r="D13" s="17">
        <f t="shared" si="0"/>
        <v>0.76603574123160567</v>
      </c>
      <c r="E13" s="17">
        <f t="shared" si="1"/>
        <v>9.2006254772104459</v>
      </c>
      <c r="F13" s="17">
        <f t="shared" si="2"/>
        <v>5.3531498339036039E-3</v>
      </c>
      <c r="G13" s="99">
        <f t="shared" si="3"/>
        <v>6.4295076710066013E-2</v>
      </c>
      <c r="H13" s="17">
        <v>5.7961877482319247E-3</v>
      </c>
      <c r="I13" s="17">
        <v>134.08089880351031</v>
      </c>
      <c r="J13" s="15">
        <v>134080.8988035103</v>
      </c>
      <c r="K13" s="15">
        <f t="shared" si="7"/>
        <v>432</v>
      </c>
      <c r="L13" s="15">
        <f t="shared" si="5"/>
        <v>8620.7416739262935</v>
      </c>
      <c r="N13" s="17">
        <f t="shared" si="6"/>
        <v>0.95786018599181033</v>
      </c>
      <c r="O13" s="16"/>
      <c r="P13" s="16"/>
      <c r="Q13" s="16"/>
      <c r="R13" s="23"/>
    </row>
    <row r="14" spans="1:25" s="15" customFormat="1">
      <c r="A14" s="21" t="str">
        <f>'04.28.17'!A34</f>
        <v>AL1-6</v>
      </c>
      <c r="B14" s="15">
        <f>'04.28.17'!C34</f>
        <v>109.8</v>
      </c>
      <c r="C14" s="17">
        <f>'04.28.17'!K34</f>
        <v>0.63906033704483911</v>
      </c>
      <c r="D14" s="17">
        <f t="shared" si="0"/>
        <v>0.63326414929660724</v>
      </c>
      <c r="E14" s="17">
        <f t="shared" si="1"/>
        <v>7.6059457179567609</v>
      </c>
      <c r="F14" s="17">
        <f t="shared" si="2"/>
        <v>5.7674330537031623E-3</v>
      </c>
      <c r="G14" s="99">
        <f t="shared" si="3"/>
        <v>6.9270908178112572E-2</v>
      </c>
      <c r="H14" s="17">
        <v>5.7961877482319247E-3</v>
      </c>
      <c r="I14" s="17">
        <v>134.08089880351031</v>
      </c>
      <c r="J14" s="15">
        <v>134080.8988035103</v>
      </c>
      <c r="K14" s="15">
        <f t="shared" si="7"/>
        <v>432</v>
      </c>
      <c r="L14" s="15">
        <f t="shared" si="5"/>
        <v>9287.9056294567654</v>
      </c>
      <c r="N14" s="17">
        <f t="shared" si="6"/>
        <v>1.0319895143840851</v>
      </c>
      <c r="O14" s="16"/>
    </row>
    <row r="15" spans="1:25" s="15" customFormat="1">
      <c r="A15" s="21" t="str">
        <f>'04.28.17'!A35</f>
        <v>AL1-6</v>
      </c>
      <c r="B15" s="15">
        <f>'04.28.17'!C35</f>
        <v>171.5</v>
      </c>
      <c r="C15" s="17">
        <f>'04.28.17'!K35</f>
        <v>0.95994507974721643</v>
      </c>
      <c r="D15" s="17">
        <f t="shared" si="0"/>
        <v>0.95414889199898456</v>
      </c>
      <c r="E15" s="17">
        <f t="shared" si="1"/>
        <v>11.459996097132203</v>
      </c>
      <c r="F15" s="17">
        <f t="shared" si="2"/>
        <v>5.563550390664633E-3</v>
      </c>
      <c r="G15" s="99">
        <f t="shared" si="3"/>
        <v>6.6822134677155712E-2</v>
      </c>
      <c r="H15" s="17">
        <v>5.7961877482319247E-3</v>
      </c>
      <c r="I15" s="17">
        <v>134.08089880351031</v>
      </c>
      <c r="J15" s="15">
        <v>134080.8988035103</v>
      </c>
      <c r="K15" s="15">
        <f t="shared" si="7"/>
        <v>432</v>
      </c>
      <c r="L15" s="15">
        <f t="shared" si="5"/>
        <v>8959.5718774822508</v>
      </c>
      <c r="N15" s="17">
        <f t="shared" si="6"/>
        <v>0.99550798638691673</v>
      </c>
      <c r="O15" s="17">
        <f>AVERAGE(N13:N15)</f>
        <v>0.99511922892093752</v>
      </c>
      <c r="P15" s="17">
        <f>STDEV(N13:N15)</f>
        <v>3.7066193239230084E-2</v>
      </c>
      <c r="Q15" s="100">
        <f>P15/O15</f>
        <v>3.7247992162128145E-2</v>
      </c>
    </row>
    <row r="16" spans="1:25" s="15" customFormat="1">
      <c r="A16" s="21" t="str">
        <f>'04.28.17'!A36</f>
        <v>AL1-13</v>
      </c>
      <c r="B16" s="15">
        <f>'04.28.17'!C36</f>
        <v>77.3</v>
      </c>
      <c r="C16" s="17">
        <f>'04.28.17'!K36</f>
        <v>0.36397758049954859</v>
      </c>
      <c r="D16" s="17">
        <f t="shared" si="0"/>
        <v>0.35818139275131666</v>
      </c>
      <c r="E16" s="17">
        <f t="shared" si="1"/>
        <v>4.3020092539182393</v>
      </c>
      <c r="F16" s="17">
        <f t="shared" si="2"/>
        <v>4.6336532050623115E-3</v>
      </c>
      <c r="G16" s="99">
        <f t="shared" si="3"/>
        <v>5.5653418550041904E-2</v>
      </c>
      <c r="H16" s="17">
        <v>5.7961877482319247E-3</v>
      </c>
      <c r="I16" s="17">
        <v>30.790053561003248</v>
      </c>
      <c r="J16" s="15">
        <v>30790.053561003249</v>
      </c>
      <c r="K16" s="15">
        <f t="shared" si="7"/>
        <v>432</v>
      </c>
      <c r="L16" s="15">
        <f t="shared" si="5"/>
        <v>1713.5717380087219</v>
      </c>
      <c r="N16" s="17">
        <f t="shared" si="6"/>
        <v>0.19039685977874687</v>
      </c>
      <c r="O16" s="16"/>
    </row>
    <row r="17" spans="1:20" s="15" customFormat="1">
      <c r="A17" s="21" t="str">
        <f>'04.28.17'!A37</f>
        <v>AL1-13</v>
      </c>
      <c r="B17" s="15">
        <f>'04.28.17'!C37</f>
        <v>146</v>
      </c>
      <c r="C17" s="17">
        <f>'04.28.17'!K37</f>
        <v>0.68719455311465549</v>
      </c>
      <c r="D17" s="17">
        <f t="shared" si="0"/>
        <v>0.68139836536642362</v>
      </c>
      <c r="E17" s="17">
        <f t="shared" si="1"/>
        <v>8.1840713469065047</v>
      </c>
      <c r="F17" s="17">
        <f t="shared" si="2"/>
        <v>4.6671120915508469E-3</v>
      </c>
      <c r="G17" s="99">
        <f t="shared" si="3"/>
        <v>5.6055283197989754E-2</v>
      </c>
      <c r="H17" s="17">
        <v>5.7961877482319247E-3</v>
      </c>
      <c r="I17" s="17">
        <v>30.790053561003248</v>
      </c>
      <c r="J17" s="15">
        <v>30790.053561003249</v>
      </c>
      <c r="K17" s="15">
        <f t="shared" si="7"/>
        <v>432</v>
      </c>
      <c r="L17" s="15">
        <f t="shared" si="5"/>
        <v>1725.9451720433101</v>
      </c>
      <c r="N17" s="17">
        <f t="shared" si="6"/>
        <v>0.19177168578259002</v>
      </c>
      <c r="O17" s="17">
        <f>AVERAGE(N16:N17)</f>
        <v>0.19108427278066845</v>
      </c>
      <c r="P17" s="17">
        <f>ABS(N17-N16)</f>
        <v>1.3748260038431437E-3</v>
      </c>
      <c r="Q17" s="100">
        <f>P17/O17</f>
        <v>7.194867394561588E-3</v>
      </c>
    </row>
    <row r="18" spans="1:20" s="15" customFormat="1">
      <c r="A18" s="21"/>
      <c r="C18" s="17"/>
      <c r="D18" s="17"/>
      <c r="E18" s="17"/>
      <c r="F18" s="17"/>
      <c r="G18" s="99"/>
      <c r="H18" s="17"/>
      <c r="I18" s="17"/>
      <c r="N18" s="17"/>
      <c r="O18" s="17"/>
      <c r="P18" s="17"/>
      <c r="Q18" s="100"/>
    </row>
    <row r="19" spans="1:20" s="15" customFormat="1">
      <c r="A19" s="101" t="s">
        <v>94</v>
      </c>
      <c r="C19" s="17"/>
      <c r="D19" s="17"/>
      <c r="E19" s="17"/>
      <c r="F19" s="17"/>
      <c r="G19" s="99"/>
      <c r="H19" s="17"/>
      <c r="I19" s="17"/>
      <c r="N19" s="17"/>
      <c r="O19" s="17"/>
      <c r="P19" s="17"/>
      <c r="Q19" s="100"/>
    </row>
    <row r="20" spans="1:20" s="15" customFormat="1">
      <c r="A20" s="11"/>
      <c r="B20" s="6" t="s">
        <v>95</v>
      </c>
      <c r="C20" s="17"/>
      <c r="D20" s="17"/>
      <c r="E20" s="17"/>
      <c r="F20" s="17"/>
      <c r="G20" s="99"/>
      <c r="H20" s="17"/>
      <c r="I20" s="17"/>
      <c r="N20" s="17"/>
      <c r="O20" s="17"/>
      <c r="P20" s="17"/>
      <c r="Q20" s="100"/>
    </row>
    <row r="21" spans="1:20" s="15" customFormat="1">
      <c r="A21" s="21" t="s">
        <v>64</v>
      </c>
      <c r="B21">
        <v>100.09</v>
      </c>
      <c r="C21" s="104" t="s">
        <v>97</v>
      </c>
      <c r="D21" s="17"/>
      <c r="E21" s="17"/>
      <c r="F21" s="17"/>
      <c r="G21" s="99"/>
      <c r="H21" s="17"/>
      <c r="I21" s="17"/>
      <c r="N21" s="17"/>
      <c r="O21" s="17"/>
      <c r="P21" s="17"/>
      <c r="Q21" s="100"/>
    </row>
    <row r="22" spans="1:20" s="15" customFormat="1">
      <c r="A22" s="21"/>
      <c r="B22"/>
      <c r="C22" s="17"/>
      <c r="D22" s="17"/>
      <c r="E22" s="17"/>
      <c r="F22" s="17"/>
      <c r="G22" s="99"/>
      <c r="H22" s="17"/>
      <c r="I22" s="17"/>
      <c r="N22" s="17"/>
      <c r="O22" s="17"/>
      <c r="P22" s="17"/>
      <c r="Q22" s="100"/>
    </row>
    <row r="23" spans="1:20" s="15" customFormat="1" ht="28">
      <c r="A23" s="18" t="s">
        <v>29</v>
      </c>
      <c r="B23" s="18" t="s">
        <v>86</v>
      </c>
      <c r="C23" s="18" t="s">
        <v>30</v>
      </c>
      <c r="D23" s="18" t="s">
        <v>87</v>
      </c>
      <c r="E23" s="18" t="s">
        <v>87</v>
      </c>
      <c r="F23" s="17" t="s">
        <v>96</v>
      </c>
      <c r="G23" s="99"/>
      <c r="H23" s="18" t="s">
        <v>31</v>
      </c>
      <c r="I23" s="17"/>
      <c r="J23" s="15" t="s">
        <v>13</v>
      </c>
      <c r="N23" s="17"/>
      <c r="O23" s="17"/>
      <c r="P23" s="17"/>
      <c r="Q23" s="100"/>
    </row>
    <row r="24" spans="1:20" s="15" customFormat="1">
      <c r="A24" s="21"/>
      <c r="B24" s="96" t="s">
        <v>39</v>
      </c>
      <c r="C24" s="96" t="s">
        <v>18</v>
      </c>
      <c r="D24" s="96" t="s">
        <v>18</v>
      </c>
      <c r="E24" s="96" t="s">
        <v>39</v>
      </c>
      <c r="F24" s="96" t="s">
        <v>18</v>
      </c>
      <c r="G24" s="99"/>
      <c r="H24" s="17"/>
      <c r="I24" s="17"/>
      <c r="N24" s="17"/>
      <c r="O24" s="17"/>
      <c r="P24" s="17"/>
      <c r="Q24" s="103"/>
      <c r="S24" s="17"/>
      <c r="T24" s="17"/>
    </row>
    <row r="25" spans="1:20" s="15" customFormat="1">
      <c r="A25" s="21"/>
      <c r="B25" s="96"/>
      <c r="C25" s="17"/>
      <c r="D25" s="17"/>
      <c r="E25" s="17"/>
      <c r="F25" s="17"/>
      <c r="G25" s="17"/>
      <c r="H25" s="99"/>
      <c r="I25" s="17"/>
      <c r="J25" s="102"/>
      <c r="N25" s="17"/>
      <c r="O25" s="17"/>
      <c r="P25" s="17"/>
      <c r="Q25" s="100"/>
    </row>
    <row r="26" spans="1:20" s="15" customFormat="1">
      <c r="A26" s="21" t="str">
        <f>'04.28.17'!A38</f>
        <v>CaCO3</v>
      </c>
      <c r="B26" s="15">
        <f>'04.28.17'!C38</f>
        <v>194.8</v>
      </c>
      <c r="C26" s="17">
        <f>'04.28.17'!K38</f>
        <v>1.9660540174541079</v>
      </c>
      <c r="D26" s="17">
        <f>C26-H26</f>
        <v>1.9602578297058759</v>
      </c>
      <c r="E26" s="17">
        <f t="shared" si="1"/>
        <v>23.544068715248365</v>
      </c>
      <c r="F26" s="17">
        <f>(B26*0.12)/12.0107</f>
        <v>1.9462645807488324</v>
      </c>
      <c r="G26" s="17"/>
      <c r="H26" s="17">
        <v>5.7961877482319247E-3</v>
      </c>
      <c r="I26" s="17"/>
      <c r="J26" s="17">
        <f>(D26/F26)*100</f>
        <v>100.71897978802346</v>
      </c>
      <c r="N26" s="16"/>
      <c r="O26" s="16"/>
    </row>
    <row r="27" spans="1:20" s="15" customFormat="1">
      <c r="A27" s="21" t="str">
        <f>'04.28.17'!A39</f>
        <v>CaCO3</v>
      </c>
      <c r="B27" s="15">
        <f>'04.28.17'!C39</f>
        <v>90.4</v>
      </c>
      <c r="C27" s="17">
        <f>'04.28.17'!K39</f>
        <v>0.91930409268733082</v>
      </c>
      <c r="D27" s="17">
        <f t="shared" ref="D27:D29" si="8">C27-H27</f>
        <v>0.91350790493909895</v>
      </c>
      <c r="E27" s="17">
        <f t="shared" si="1"/>
        <v>10.971869393852035</v>
      </c>
      <c r="F27" s="17">
        <f t="shared" ref="F27:F29" si="9">(B27*0.12)/12.0107</f>
        <v>0.90319465143580313</v>
      </c>
      <c r="G27" s="17"/>
      <c r="H27" s="17">
        <v>5.7961877482319247E-3</v>
      </c>
      <c r="I27" s="17"/>
      <c r="J27" s="17">
        <f t="shared" ref="J27:J29" si="10">(D27/F27)*100</f>
        <v>101.14186388137938</v>
      </c>
      <c r="N27" s="16"/>
      <c r="O27" s="16"/>
      <c r="P27" s="16"/>
      <c r="Q27" s="16"/>
      <c r="R27" s="23"/>
    </row>
    <row r="28" spans="1:20" s="15" customFormat="1">
      <c r="A28" s="21" t="str">
        <f>'04.28.17'!A40</f>
        <v>CaCO3</v>
      </c>
      <c r="B28" s="15">
        <f>'04.28.17'!C40</f>
        <v>46.9</v>
      </c>
      <c r="C28" s="17">
        <f>'04.28.17'!K40</f>
        <v>0.4420245260306952</v>
      </c>
      <c r="D28" s="17">
        <f t="shared" si="8"/>
        <v>0.43622833828246327</v>
      </c>
      <c r="E28" s="17">
        <f t="shared" si="1"/>
        <v>5.2394077026091814</v>
      </c>
      <c r="F28" s="17">
        <f t="shared" si="9"/>
        <v>0.46858218088870751</v>
      </c>
      <c r="G28" s="17"/>
      <c r="H28" s="17">
        <v>5.7961877482319247E-3</v>
      </c>
      <c r="I28" s="17"/>
      <c r="J28" s="17">
        <f t="shared" si="10"/>
        <v>93.095374957519226</v>
      </c>
      <c r="N28" s="16"/>
      <c r="O28" s="16"/>
    </row>
    <row r="29" spans="1:20" s="15" customFormat="1">
      <c r="A29" s="21" t="str">
        <f>'04.28.17'!A41</f>
        <v>CaCO3</v>
      </c>
      <c r="B29" s="15">
        <f>'04.28.17'!C41</f>
        <v>153.80000000000001</v>
      </c>
      <c r="C29" s="17">
        <f>'04.28.17'!K41</f>
        <v>1.5277452603069517</v>
      </c>
      <c r="D29" s="17">
        <f t="shared" si="8"/>
        <v>1.5219490725587197</v>
      </c>
      <c r="E29" s="17">
        <f t="shared" si="1"/>
        <v>18.279673725781013</v>
      </c>
      <c r="F29" s="17">
        <f t="shared" si="9"/>
        <v>1.5366298383940986</v>
      </c>
      <c r="G29" s="17"/>
      <c r="H29" s="17">
        <v>5.7961877482319247E-3</v>
      </c>
      <c r="I29" s="17"/>
      <c r="J29" s="17">
        <f t="shared" si="10"/>
        <v>99.044612731800029</v>
      </c>
      <c r="K29" s="17">
        <f>AVERAGE(J26:J29)</f>
        <v>98.500207839680527</v>
      </c>
      <c r="L29" s="15">
        <f>STDEV(J26:J29)</f>
        <v>3.7152788487565429</v>
      </c>
      <c r="M29" s="100">
        <f>L29/K29</f>
        <v>3.7718487404651481E-2</v>
      </c>
      <c r="N29" s="16"/>
      <c r="O29" s="16"/>
    </row>
    <row r="30" spans="1:20" s="15" customFormat="1">
      <c r="A30" s="21"/>
      <c r="C30" s="17"/>
      <c r="D30" s="17"/>
      <c r="E30" s="17"/>
      <c r="F30" s="17"/>
      <c r="G30" s="99"/>
      <c r="H30" s="17"/>
      <c r="I30" s="17"/>
      <c r="J30" s="17"/>
      <c r="L30" s="100"/>
      <c r="N30" s="16"/>
      <c r="O30" s="16"/>
    </row>
    <row r="31" spans="1:20">
      <c r="B31" s="6"/>
    </row>
    <row r="32" spans="1:20">
      <c r="A32" s="21"/>
      <c r="C32" s="2"/>
    </row>
    <row r="33" spans="3:18">
      <c r="C33" s="2"/>
    </row>
    <row r="34" spans="3:18">
      <c r="C34" s="2"/>
      <c r="F34" s="2"/>
      <c r="P34" s="10"/>
      <c r="Q34" s="10"/>
      <c r="R34" s="13"/>
    </row>
    <row r="35" spans="3:18">
      <c r="C35" s="2"/>
      <c r="F35" s="2"/>
    </row>
    <row r="36" spans="3:18">
      <c r="C36" s="2"/>
      <c r="F36" s="2"/>
    </row>
    <row r="37" spans="3:18">
      <c r="C37" s="2"/>
    </row>
    <row r="38" spans="3:18">
      <c r="C38" s="2"/>
    </row>
    <row r="39" spans="3:18">
      <c r="C39" s="2"/>
    </row>
    <row r="40" spans="3:18">
      <c r="C40" s="2"/>
      <c r="F40" s="2"/>
      <c r="P40" s="10"/>
      <c r="Q40" s="10"/>
      <c r="R40" s="13"/>
    </row>
    <row r="41" spans="3:18">
      <c r="C41" s="2"/>
      <c r="F41" s="2"/>
    </row>
    <row r="42" spans="3:18">
      <c r="C42" s="2"/>
      <c r="F42" s="2"/>
    </row>
    <row r="43" spans="3:18">
      <c r="C43" s="2"/>
    </row>
    <row r="44" spans="3:18">
      <c r="C44" s="2"/>
    </row>
    <row r="45" spans="3:18">
      <c r="C45" s="2"/>
    </row>
    <row r="46" spans="3:18">
      <c r="C46" s="2"/>
      <c r="F46" s="2"/>
      <c r="P46" s="10"/>
      <c r="Q46" s="10"/>
      <c r="R46" s="13"/>
    </row>
    <row r="47" spans="3:18">
      <c r="C47" s="2"/>
      <c r="F47" s="2"/>
    </row>
    <row r="48" spans="3:18">
      <c r="C48" s="2"/>
      <c r="F48" s="2"/>
    </row>
    <row r="49" spans="3:18">
      <c r="C49" s="2"/>
    </row>
    <row r="50" spans="3:18">
      <c r="C50" s="2"/>
    </row>
    <row r="51" spans="3:18">
      <c r="C51" s="2"/>
    </row>
    <row r="52" spans="3:18">
      <c r="C52" s="2"/>
      <c r="F52" s="2"/>
      <c r="P52" s="10"/>
      <c r="Q52" s="10"/>
      <c r="R52" s="13"/>
    </row>
    <row r="53" spans="3:18">
      <c r="C53" s="2"/>
      <c r="F53" s="2"/>
    </row>
    <row r="54" spans="3:18">
      <c r="C54" s="2"/>
      <c r="F54" s="2"/>
    </row>
    <row r="55" spans="3:18">
      <c r="C55" s="2"/>
    </row>
    <row r="56" spans="3:18">
      <c r="C56" s="2"/>
    </row>
    <row r="57" spans="3:18">
      <c r="C57" s="2"/>
    </row>
    <row r="58" spans="3:18">
      <c r="C58" s="2"/>
      <c r="F58" s="2"/>
      <c r="P58" s="10"/>
      <c r="Q58" s="10"/>
      <c r="R58" s="13"/>
    </row>
    <row r="59" spans="3:18">
      <c r="C59" s="2"/>
      <c r="F59" s="2"/>
    </row>
    <row r="60" spans="3:18">
      <c r="C60" s="2"/>
      <c r="F60" s="2"/>
    </row>
    <row r="61" spans="3:18">
      <c r="C61" s="2"/>
      <c r="F61" s="2"/>
    </row>
    <row r="62" spans="3:18">
      <c r="C62" s="2"/>
      <c r="F62" s="2"/>
    </row>
    <row r="63" spans="3:18">
      <c r="C63" s="2"/>
      <c r="F63" s="2"/>
    </row>
    <row r="64" spans="3:18">
      <c r="C64" s="2"/>
      <c r="F64" s="2"/>
      <c r="P64" s="10"/>
      <c r="Q64" s="10"/>
      <c r="R64" s="13"/>
    </row>
    <row r="65" spans="3:21">
      <c r="C65" s="2"/>
      <c r="F65" s="2"/>
    </row>
    <row r="66" spans="3:21">
      <c r="C66" s="2"/>
      <c r="F66" s="2"/>
    </row>
    <row r="67" spans="3:21">
      <c r="C67" s="2"/>
      <c r="F67" s="2"/>
    </row>
    <row r="68" spans="3:21">
      <c r="C68" s="2"/>
      <c r="F68" s="2"/>
    </row>
    <row r="69" spans="3:21">
      <c r="C69" s="2"/>
      <c r="F69" s="2"/>
      <c r="P69" s="10"/>
      <c r="Q69" s="10"/>
      <c r="R69" s="13"/>
    </row>
    <row r="70" spans="3:21">
      <c r="C70" s="2"/>
      <c r="F70" s="2"/>
      <c r="P70" s="10"/>
      <c r="Q70" s="10"/>
      <c r="R70" s="13"/>
    </row>
    <row r="71" spans="3:21">
      <c r="C71" s="2"/>
      <c r="F71" s="2"/>
    </row>
    <row r="72" spans="3:21">
      <c r="C72" s="2"/>
      <c r="F72" s="2"/>
    </row>
    <row r="73" spans="3:21">
      <c r="C73" s="2"/>
      <c r="F73" s="2"/>
    </row>
    <row r="74" spans="3:21">
      <c r="C74" s="2"/>
      <c r="F74" s="2"/>
    </row>
    <row r="75" spans="3:21">
      <c r="C75" s="2"/>
    </row>
    <row r="76" spans="3:21">
      <c r="C76" s="2"/>
      <c r="F76" s="2"/>
      <c r="P76" s="10"/>
      <c r="Q76" s="10"/>
      <c r="R76" s="13"/>
    </row>
    <row r="77" spans="3:21">
      <c r="C77" s="2"/>
      <c r="F77" s="2"/>
    </row>
    <row r="78" spans="3:21">
      <c r="C78" s="2"/>
      <c r="F78" s="2"/>
      <c r="U78" s="14"/>
    </row>
    <row r="79" spans="3:21">
      <c r="C79" s="2"/>
      <c r="F79" s="2"/>
    </row>
    <row r="80" spans="3:21">
      <c r="C80" s="2"/>
      <c r="F80" s="2"/>
      <c r="U80" s="2"/>
    </row>
    <row r="81" spans="3:18">
      <c r="C81" s="2"/>
      <c r="F81" s="2"/>
      <c r="P81" s="10"/>
      <c r="Q81" s="10"/>
      <c r="R81" s="13"/>
    </row>
    <row r="82" spans="3:18">
      <c r="C82" s="2"/>
      <c r="F82" s="2"/>
      <c r="P82" s="10"/>
      <c r="Q82" s="10"/>
      <c r="R82" s="13"/>
    </row>
    <row r="83" spans="3:18">
      <c r="C83" s="2"/>
      <c r="F83" s="2"/>
    </row>
    <row r="84" spans="3:18">
      <c r="C84" s="2"/>
      <c r="F84" s="2"/>
    </row>
    <row r="85" spans="3:18">
      <c r="C85" s="2"/>
    </row>
    <row r="86" spans="3:18">
      <c r="C86" s="2"/>
    </row>
    <row r="87" spans="3:18">
      <c r="C87" s="2"/>
    </row>
    <row r="88" spans="3:18">
      <c r="C88" s="2"/>
      <c r="F88" s="2"/>
      <c r="P88" s="10"/>
      <c r="Q88" s="10"/>
      <c r="R88" s="13"/>
    </row>
    <row r="89" spans="3:18">
      <c r="C89" s="2"/>
      <c r="F89" s="2"/>
    </row>
    <row r="90" spans="3:18">
      <c r="C90" s="2"/>
      <c r="F90" s="2"/>
    </row>
    <row r="91" spans="3:18">
      <c r="C91" s="2"/>
    </row>
    <row r="92" spans="3:18">
      <c r="C92" s="2"/>
    </row>
    <row r="93" spans="3:18">
      <c r="C93" s="2"/>
    </row>
    <row r="94" spans="3:18">
      <c r="C94" s="2"/>
      <c r="F94" s="2"/>
      <c r="P94" s="10"/>
      <c r="Q94" s="10"/>
      <c r="R94" s="13"/>
    </row>
    <row r="95" spans="3:18">
      <c r="C95" s="2"/>
      <c r="F95" s="2"/>
    </row>
    <row r="96" spans="3:18">
      <c r="C96" s="2"/>
      <c r="F96" s="2"/>
    </row>
    <row r="97" spans="3:18">
      <c r="C97" s="2"/>
    </row>
    <row r="98" spans="3:18">
      <c r="C98" s="2"/>
    </row>
    <row r="99" spans="3:18">
      <c r="C99" s="2"/>
    </row>
    <row r="100" spans="3:18">
      <c r="C100" s="2"/>
      <c r="F100" s="2"/>
      <c r="P100" s="10"/>
      <c r="Q100" s="10"/>
      <c r="R100" s="13"/>
    </row>
    <row r="101" spans="3:18">
      <c r="C101" s="2"/>
      <c r="F101" s="2"/>
    </row>
    <row r="102" spans="3:18">
      <c r="C102" s="2"/>
      <c r="F102" s="2"/>
    </row>
    <row r="103" spans="3:18">
      <c r="C103" s="2"/>
    </row>
  </sheetData>
  <printOptions gridLines="1"/>
  <pageMargins left="0.7" right="0.7" top="0.75" bottom="0.75" header="0.3" footer="0.3"/>
  <pageSetup orientation="portrait" horizontalDpi="1200" verticalDpi="120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="150" zoomScaleNormal="150" zoomScalePageLayoutView="15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G30" sqref="G30"/>
    </sheetView>
  </sheetViews>
  <sheetFormatPr baseColWidth="10" defaultColWidth="8.83203125" defaultRowHeight="12" x14ac:dyDescent="0"/>
  <cols>
    <col min="1" max="1" width="10.5" style="79" bestFit="1" customWidth="1"/>
    <col min="2" max="3" width="11.5" style="79" customWidth="1"/>
    <col min="4" max="4" width="16.83203125" style="41" customWidth="1"/>
    <col min="5" max="5" width="16.83203125" style="33" customWidth="1"/>
    <col min="6" max="8" width="15.83203125" style="33" customWidth="1"/>
    <col min="9" max="9" width="12" style="33" customWidth="1"/>
    <col min="10" max="10" width="7.6640625" style="33" customWidth="1"/>
    <col min="11" max="11" width="10.6640625" style="33" customWidth="1"/>
    <col min="12" max="12" width="6.6640625" style="33" customWidth="1"/>
    <col min="13" max="16384" width="8.83203125" style="33"/>
  </cols>
  <sheetData>
    <row r="1" spans="1:12" ht="23">
      <c r="D1" s="105" t="s">
        <v>107</v>
      </c>
    </row>
    <row r="4" spans="1:12">
      <c r="A4" s="106" t="s">
        <v>42</v>
      </c>
      <c r="B4" s="106" t="s">
        <v>98</v>
      </c>
      <c r="C4" s="106" t="s">
        <v>98</v>
      </c>
      <c r="D4" s="55"/>
      <c r="E4" s="44"/>
      <c r="F4" s="44"/>
      <c r="G4" s="44"/>
      <c r="H4" s="44"/>
      <c r="I4" s="54"/>
      <c r="J4" s="54"/>
      <c r="K4" s="54"/>
      <c r="L4" s="54"/>
    </row>
    <row r="5" spans="1:12">
      <c r="A5" s="106" t="s">
        <v>99</v>
      </c>
      <c r="B5" s="106" t="s">
        <v>100</v>
      </c>
      <c r="C5" s="106" t="s">
        <v>101</v>
      </c>
      <c r="D5" s="55" t="s">
        <v>52</v>
      </c>
      <c r="E5" s="44"/>
      <c r="F5" s="44"/>
      <c r="G5" s="44"/>
      <c r="H5" s="44"/>
      <c r="I5" s="54"/>
      <c r="J5" s="54"/>
      <c r="K5" s="54"/>
      <c r="L5" s="54"/>
    </row>
    <row r="6" spans="1:12">
      <c r="D6" s="55" t="s">
        <v>106</v>
      </c>
      <c r="E6" s="44" t="s">
        <v>102</v>
      </c>
      <c r="F6" s="44" t="s">
        <v>108</v>
      </c>
      <c r="G6" s="44" t="s">
        <v>109</v>
      </c>
      <c r="H6" s="44" t="s">
        <v>110</v>
      </c>
      <c r="I6" s="54" t="s">
        <v>111</v>
      </c>
      <c r="J6" s="54" t="s">
        <v>103</v>
      </c>
      <c r="K6" s="54" t="s">
        <v>104</v>
      </c>
      <c r="L6" s="54" t="s">
        <v>56</v>
      </c>
    </row>
    <row r="7" spans="1:12">
      <c r="A7" s="54"/>
      <c r="E7" s="42"/>
      <c r="F7" s="42"/>
      <c r="G7" s="42"/>
      <c r="H7" s="43" t="s">
        <v>105</v>
      </c>
      <c r="I7" s="41"/>
      <c r="J7" s="54" t="s">
        <v>111</v>
      </c>
      <c r="K7" s="41"/>
      <c r="L7" s="41"/>
    </row>
    <row r="8" spans="1:12" s="79" customFormat="1" ht="14">
      <c r="A8" s="107" t="s">
        <v>65</v>
      </c>
      <c r="B8" s="108">
        <v>63.977123174710187</v>
      </c>
      <c r="C8" s="109">
        <f>B8*1000</f>
        <v>63977.123174710185</v>
      </c>
      <c r="D8" s="121">
        <v>10.093928066737982</v>
      </c>
      <c r="E8" s="124">
        <v>180.5</v>
      </c>
      <c r="F8" s="110">
        <f>D8/E8</f>
        <v>5.592203915090295E-2</v>
      </c>
      <c r="G8" s="111">
        <f>F8*$C$8</f>
        <v>3577.7311869382834</v>
      </c>
      <c r="H8" s="61">
        <f>G8/1000</f>
        <v>3.5777311869382835</v>
      </c>
      <c r="I8" s="112">
        <f t="shared" ref="I8:I21" si="0">(D8/E8)*100</f>
        <v>5.5922039150902947</v>
      </c>
      <c r="J8" s="112"/>
      <c r="K8" s="112"/>
      <c r="L8" s="112"/>
    </row>
    <row r="9" spans="1:12" ht="14">
      <c r="A9" s="107" t="s">
        <v>65</v>
      </c>
      <c r="B9" s="113"/>
      <c r="C9" s="38"/>
      <c r="D9" s="122">
        <v>7.5755846345983482</v>
      </c>
      <c r="E9" s="124">
        <v>135.30000000000001</v>
      </c>
      <c r="F9" s="114">
        <f t="shared" ref="F9:F21" si="1">D9/E9</f>
        <v>5.5991017254976704E-2</v>
      </c>
      <c r="G9" s="47">
        <f>F9*$C$8</f>
        <v>3582.144207598968</v>
      </c>
      <c r="H9" s="46">
        <f t="shared" ref="H9:H21" si="2">G9/1000</f>
        <v>3.5821442075989682</v>
      </c>
      <c r="I9" s="115">
        <f t="shared" si="0"/>
        <v>5.59910172549767</v>
      </c>
      <c r="J9" s="115"/>
      <c r="K9" s="115"/>
      <c r="L9" s="115"/>
    </row>
    <row r="10" spans="1:12" ht="14">
      <c r="A10" s="107" t="s">
        <v>65</v>
      </c>
      <c r="B10" s="113"/>
      <c r="C10" s="38"/>
      <c r="D10" s="122">
        <v>14.587910565985649</v>
      </c>
      <c r="E10" s="124">
        <v>257.3</v>
      </c>
      <c r="F10" s="114">
        <f t="shared" si="1"/>
        <v>5.6696115685913907E-2</v>
      </c>
      <c r="G10" s="47">
        <f>F10*$C$8</f>
        <v>3627.2543767653324</v>
      </c>
      <c r="H10" s="46">
        <f t="shared" si="2"/>
        <v>3.6272543767653325</v>
      </c>
      <c r="I10" s="115">
        <f t="shared" si="0"/>
        <v>5.6696115685913906</v>
      </c>
      <c r="J10" s="115">
        <f>AVERAGE(I8:I10)</f>
        <v>5.6203057363931181</v>
      </c>
      <c r="K10" s="115">
        <f>STDEV(I8:I10)</f>
        <v>4.2839161565991837E-2</v>
      </c>
      <c r="L10" s="116">
        <f>K10/J10</f>
        <v>7.6222119534522436E-3</v>
      </c>
    </row>
    <row r="11" spans="1:12" ht="14">
      <c r="A11" s="117" t="s">
        <v>66</v>
      </c>
      <c r="B11" s="118">
        <v>127.75287962755803</v>
      </c>
      <c r="C11" s="119">
        <f>B11*1000</f>
        <v>127752.87962755802</v>
      </c>
      <c r="D11" s="122">
        <v>17.57305565476085</v>
      </c>
      <c r="E11" s="124">
        <v>277.89999999999998</v>
      </c>
      <c r="F11" s="114">
        <f t="shared" si="1"/>
        <v>6.3235176879312169E-2</v>
      </c>
      <c r="G11" s="47">
        <f>F11*$C$11</f>
        <v>8078.4759400901075</v>
      </c>
      <c r="H11" s="46">
        <f t="shared" si="2"/>
        <v>8.0784759400901081</v>
      </c>
      <c r="I11" s="115">
        <f t="shared" si="0"/>
        <v>6.3235176879312167</v>
      </c>
      <c r="J11" s="115"/>
      <c r="K11" s="115"/>
      <c r="L11" s="115"/>
    </row>
    <row r="12" spans="1:12" ht="14">
      <c r="A12" s="117" t="s">
        <v>66</v>
      </c>
      <c r="B12" s="120"/>
      <c r="C12" s="38"/>
      <c r="D12" s="122">
        <v>12.711306461261001</v>
      </c>
      <c r="E12" s="124">
        <v>211.8</v>
      </c>
      <c r="F12" s="114">
        <f t="shared" si="1"/>
        <v>6.0015611242969787E-2</v>
      </c>
      <c r="G12" s="47">
        <f>F12*$C$11</f>
        <v>7667.1671588974368</v>
      </c>
      <c r="H12" s="46">
        <f t="shared" si="2"/>
        <v>7.6671671588974366</v>
      </c>
      <c r="I12" s="115">
        <f t="shared" si="0"/>
        <v>6.0015611242969786</v>
      </c>
      <c r="J12" s="115"/>
      <c r="K12" s="115"/>
      <c r="L12" s="115"/>
    </row>
    <row r="13" spans="1:12" ht="14">
      <c r="A13" s="117" t="s">
        <v>66</v>
      </c>
      <c r="B13" s="120"/>
      <c r="C13" s="38"/>
      <c r="D13" s="122">
        <v>7.3632377718237478</v>
      </c>
      <c r="E13" s="124">
        <v>128.69999999999999</v>
      </c>
      <c r="F13" s="114">
        <f t="shared" si="1"/>
        <v>5.7212414699485223E-2</v>
      </c>
      <c r="G13" s="47">
        <f>F13*$C$11</f>
        <v>7309.0507283052666</v>
      </c>
      <c r="H13" s="46">
        <f t="shared" si="2"/>
        <v>7.3090507283052668</v>
      </c>
      <c r="I13" s="115">
        <f t="shared" si="0"/>
        <v>5.7212414699485219</v>
      </c>
      <c r="J13" s="115">
        <f>AVERAGE(I11:I13)</f>
        <v>6.0154400940589055</v>
      </c>
      <c r="K13" s="115">
        <f>STDEV(I11:I13)</f>
        <v>0.30137788578149527</v>
      </c>
      <c r="L13" s="116">
        <f>K13/J13</f>
        <v>5.0100720989499734E-2</v>
      </c>
    </row>
    <row r="14" spans="1:12" s="79" customFormat="1" ht="14">
      <c r="A14" s="107" t="s">
        <v>67</v>
      </c>
      <c r="B14" s="108">
        <v>171.78164341482145</v>
      </c>
      <c r="C14" s="109">
        <f>B14*1000</f>
        <v>171781.64341482145</v>
      </c>
      <c r="D14" s="121">
        <v>10.972230835320588</v>
      </c>
      <c r="E14" s="124">
        <v>179.3</v>
      </c>
      <c r="F14" s="110">
        <f t="shared" si="1"/>
        <v>6.1194817821085261E-2</v>
      </c>
      <c r="G14" s="111">
        <f>F14*$C$14</f>
        <v>10512.14637377663</v>
      </c>
      <c r="H14" s="61">
        <f t="shared" si="2"/>
        <v>10.512146373776631</v>
      </c>
      <c r="I14" s="112">
        <f t="shared" si="0"/>
        <v>6.1194817821085259</v>
      </c>
      <c r="J14" s="112"/>
      <c r="K14" s="112"/>
      <c r="L14" s="112"/>
    </row>
    <row r="15" spans="1:12" ht="14">
      <c r="A15" s="107" t="s">
        <v>67</v>
      </c>
      <c r="B15" s="113"/>
      <c r="C15" s="38"/>
      <c r="D15" s="122">
        <v>13.149734962615199</v>
      </c>
      <c r="E15" s="124">
        <v>218.8</v>
      </c>
      <c r="F15" s="114">
        <f t="shared" si="1"/>
        <v>6.0099337123469827E-2</v>
      </c>
      <c r="G15" s="47">
        <f>F15*$C$14</f>
        <v>10323.962899211036</v>
      </c>
      <c r="H15" s="46">
        <f t="shared" si="2"/>
        <v>10.323962899211036</v>
      </c>
      <c r="I15" s="115">
        <f t="shared" si="0"/>
        <v>6.0099337123469825</v>
      </c>
      <c r="J15" s="115"/>
      <c r="K15" s="115"/>
      <c r="L15" s="115"/>
    </row>
    <row r="16" spans="1:12" ht="14">
      <c r="A16" s="107" t="s">
        <v>67</v>
      </c>
      <c r="B16" s="113"/>
      <c r="C16" s="38"/>
      <c r="D16" s="122">
        <v>13.656114460057271</v>
      </c>
      <c r="E16" s="124">
        <v>214.5</v>
      </c>
      <c r="F16" s="114">
        <f t="shared" si="1"/>
        <v>6.3664869277656272E-2</v>
      </c>
      <c r="G16" s="47">
        <f>F16*$C$14</f>
        <v>10936.455872305571</v>
      </c>
      <c r="H16" s="46">
        <f t="shared" si="2"/>
        <v>10.93645587230557</v>
      </c>
      <c r="I16" s="115">
        <f t="shared" si="0"/>
        <v>6.3664869277656271</v>
      </c>
      <c r="J16" s="115">
        <f>AVERAGE(I14:I16)</f>
        <v>6.1653008074070454</v>
      </c>
      <c r="K16" s="115">
        <f>STDEV(I14:I16)</f>
        <v>0.18263922406160008</v>
      </c>
      <c r="L16" s="116">
        <f>K16/J16</f>
        <v>2.9623732850500295E-2</v>
      </c>
    </row>
    <row r="17" spans="1:12" ht="14">
      <c r="A17" s="117" t="s">
        <v>68</v>
      </c>
      <c r="B17" s="108">
        <v>134.08089880351031</v>
      </c>
      <c r="C17" s="119">
        <f>B17*1000</f>
        <v>134080.8988035103</v>
      </c>
      <c r="D17" s="122">
        <v>9.2006254772104459</v>
      </c>
      <c r="E17" s="124">
        <v>143.1</v>
      </c>
      <c r="F17" s="114">
        <f t="shared" si="1"/>
        <v>6.4295076710066013E-2</v>
      </c>
      <c r="G17" s="47">
        <f>F17*$C$17</f>
        <v>8620.7416739262935</v>
      </c>
      <c r="H17" s="46">
        <f t="shared" si="2"/>
        <v>8.6207416739262932</v>
      </c>
      <c r="I17" s="115">
        <f t="shared" si="0"/>
        <v>6.4295076710066015</v>
      </c>
      <c r="J17" s="115"/>
      <c r="K17" s="115"/>
      <c r="L17" s="115"/>
    </row>
    <row r="18" spans="1:12" ht="14">
      <c r="A18" s="117" t="s">
        <v>68</v>
      </c>
      <c r="B18" s="113"/>
      <c r="C18" s="38"/>
      <c r="D18" s="122">
        <v>7.6059457179567609</v>
      </c>
      <c r="E18" s="124">
        <v>109.8</v>
      </c>
      <c r="F18" s="114">
        <f t="shared" si="1"/>
        <v>6.9270908178112572E-2</v>
      </c>
      <c r="G18" s="47">
        <f>F18*$C$17</f>
        <v>9287.9056294567654</v>
      </c>
      <c r="H18" s="46">
        <f t="shared" si="2"/>
        <v>9.2879056294567661</v>
      </c>
      <c r="I18" s="115">
        <f t="shared" si="0"/>
        <v>6.9270908178112576</v>
      </c>
      <c r="J18" s="115"/>
      <c r="K18" s="115"/>
      <c r="L18" s="115"/>
    </row>
    <row r="19" spans="1:12" ht="14">
      <c r="A19" s="117" t="s">
        <v>68</v>
      </c>
      <c r="B19" s="113"/>
      <c r="C19" s="38"/>
      <c r="D19" s="123">
        <v>11.459996097132203</v>
      </c>
      <c r="E19" s="124">
        <v>171.5</v>
      </c>
      <c r="F19" s="114">
        <f t="shared" si="1"/>
        <v>6.6822134677155698E-2</v>
      </c>
      <c r="G19" s="47">
        <f>F19*$C$17</f>
        <v>8959.571877482249</v>
      </c>
      <c r="H19" s="46">
        <f t="shared" si="2"/>
        <v>8.959571877482249</v>
      </c>
      <c r="I19" s="115">
        <f t="shared" si="0"/>
        <v>6.6822134677155702</v>
      </c>
      <c r="J19" s="115">
        <f>AVERAGE(I17:I19)</f>
        <v>6.6796039855111431</v>
      </c>
      <c r="K19" s="115">
        <f>STDEV(I17:I19)</f>
        <v>0.24880183689843893</v>
      </c>
      <c r="L19" s="116">
        <f>K19/J19</f>
        <v>3.7247992162128138E-2</v>
      </c>
    </row>
    <row r="20" spans="1:12" s="79" customFormat="1" ht="14">
      <c r="A20" s="117" t="s">
        <v>69</v>
      </c>
      <c r="B20" s="108">
        <v>30.790053561003248</v>
      </c>
      <c r="C20" s="119">
        <f>B20*1000</f>
        <v>30790.053561003249</v>
      </c>
      <c r="D20" s="123">
        <v>4.3020092539182393</v>
      </c>
      <c r="E20" s="124">
        <v>77.3</v>
      </c>
      <c r="F20" s="110">
        <f t="shared" si="1"/>
        <v>5.5653418550041911E-2</v>
      </c>
      <c r="G20" s="47">
        <f>F20*$C$20</f>
        <v>1713.5717380087221</v>
      </c>
      <c r="H20" s="46">
        <f t="shared" si="2"/>
        <v>1.7135717380087221</v>
      </c>
      <c r="I20" s="112">
        <f t="shared" si="0"/>
        <v>5.5653418550041911</v>
      </c>
      <c r="J20" s="112"/>
      <c r="K20" s="112"/>
      <c r="L20" s="112"/>
    </row>
    <row r="21" spans="1:12" ht="14">
      <c r="A21" s="117" t="s">
        <v>69</v>
      </c>
      <c r="B21" s="120"/>
      <c r="C21" s="38"/>
      <c r="D21" s="123">
        <v>8.1840713469065047</v>
      </c>
      <c r="E21" s="124">
        <v>146</v>
      </c>
      <c r="F21" s="110">
        <f t="shared" si="1"/>
        <v>5.6055283197989761E-2</v>
      </c>
      <c r="G21" s="47">
        <f>F21*$C$20</f>
        <v>1725.9451720433103</v>
      </c>
      <c r="H21" s="46">
        <f t="shared" si="2"/>
        <v>1.7259451720433103</v>
      </c>
      <c r="I21" s="112">
        <f t="shared" si="0"/>
        <v>5.6055283197989763</v>
      </c>
      <c r="J21" s="112">
        <f>AVERAGE(I20:I21)</f>
        <v>5.5854350874015832</v>
      </c>
      <c r="K21" s="112">
        <f>ABS(I21-I20)</f>
        <v>4.0186464794785159E-2</v>
      </c>
      <c r="L21" s="116">
        <f>K21/J21</f>
        <v>7.1948673945614544E-3</v>
      </c>
    </row>
    <row r="22" spans="1:12">
      <c r="A22" s="117"/>
      <c r="B22" s="117"/>
      <c r="C22" s="117"/>
      <c r="D22" s="75"/>
      <c r="E22" s="74"/>
      <c r="F22" s="110"/>
      <c r="G22" s="47"/>
      <c r="H22" s="46"/>
      <c r="I22" s="112"/>
      <c r="J22" s="115"/>
      <c r="K22" s="115"/>
      <c r="L22" s="116"/>
    </row>
    <row r="23" spans="1:12">
      <c r="A23" s="74"/>
    </row>
  </sheetData>
  <pageMargins left="0.75" right="0.75" top="1" bottom="1" header="0.5" footer="0.5"/>
  <pageSetup scale="65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zoomScale="125" zoomScaleNormal="125" zoomScalePageLayoutView="12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M18" sqref="M18"/>
    </sheetView>
  </sheetViews>
  <sheetFormatPr baseColWidth="10" defaultColWidth="11.5" defaultRowHeight="12" x14ac:dyDescent="0"/>
  <cols>
    <col min="1" max="2" width="11.5" style="33" customWidth="1"/>
    <col min="3" max="3" width="9.1640625" style="35" customWidth="1"/>
    <col min="4" max="4" width="12.1640625" style="37" customWidth="1"/>
    <col min="5" max="5" width="12.5" style="38" customWidth="1"/>
    <col min="6" max="6" width="3.83203125" style="33" customWidth="1"/>
    <col min="7" max="7" width="12.33203125" style="33" customWidth="1"/>
    <col min="8" max="16384" width="11.5" style="33"/>
  </cols>
  <sheetData>
    <row r="1" spans="1:11">
      <c r="A1" s="25"/>
      <c r="B1" s="25" t="s">
        <v>41</v>
      </c>
      <c r="C1" s="26" t="s">
        <v>57</v>
      </c>
      <c r="D1" s="80" t="s">
        <v>43</v>
      </c>
      <c r="E1" s="81" t="s">
        <v>43</v>
      </c>
      <c r="G1" s="81" t="s">
        <v>44</v>
      </c>
      <c r="H1" s="31" t="s">
        <v>39</v>
      </c>
      <c r="I1" s="28" t="s">
        <v>39</v>
      </c>
      <c r="J1" s="82" t="s">
        <v>39</v>
      </c>
      <c r="K1" s="29" t="s">
        <v>45</v>
      </c>
    </row>
    <row r="2" spans="1:11">
      <c r="A2" s="25" t="s">
        <v>46</v>
      </c>
      <c r="B2" s="25" t="s">
        <v>47</v>
      </c>
      <c r="C2" s="34" t="s">
        <v>48</v>
      </c>
      <c r="D2" s="83" t="s">
        <v>49</v>
      </c>
      <c r="E2" s="84" t="s">
        <v>49</v>
      </c>
      <c r="G2" s="84"/>
      <c r="H2" s="31" t="s">
        <v>38</v>
      </c>
      <c r="I2" s="28" t="s">
        <v>38</v>
      </c>
      <c r="J2" s="82" t="s">
        <v>38</v>
      </c>
      <c r="K2" s="29" t="s">
        <v>38</v>
      </c>
    </row>
    <row r="3" spans="1:11">
      <c r="D3" s="83" t="s">
        <v>50</v>
      </c>
      <c r="E3" s="84" t="s">
        <v>51</v>
      </c>
      <c r="G3" s="84" t="s">
        <v>51</v>
      </c>
      <c r="H3" s="31" t="s">
        <v>52</v>
      </c>
      <c r="I3" s="28" t="s">
        <v>53</v>
      </c>
      <c r="J3" s="82" t="s">
        <v>54</v>
      </c>
      <c r="K3" s="29"/>
    </row>
    <row r="4" spans="1:11" ht="17">
      <c r="A4" s="36" t="s">
        <v>73</v>
      </c>
      <c r="G4" s="38"/>
      <c r="H4" s="31"/>
      <c r="I4" s="28"/>
      <c r="J4" s="39"/>
      <c r="K4" s="29"/>
    </row>
    <row r="5" spans="1:11">
      <c r="G5" s="38"/>
      <c r="H5" s="31"/>
      <c r="I5" s="28"/>
      <c r="J5" s="39"/>
      <c r="K5" s="29"/>
    </row>
    <row r="6" spans="1:11">
      <c r="G6" s="38"/>
      <c r="H6" s="31"/>
      <c r="I6" s="28"/>
      <c r="J6" s="39"/>
      <c r="K6" s="29"/>
    </row>
    <row r="7" spans="1:11" ht="17">
      <c r="A7" s="77" t="s">
        <v>66</v>
      </c>
      <c r="B7" s="85">
        <v>5</v>
      </c>
      <c r="C7" s="56">
        <v>8.19</v>
      </c>
      <c r="D7" s="86">
        <v>127.75287962755803</v>
      </c>
      <c r="E7" s="38">
        <f>D7*1000</f>
        <v>127752.87962755802</v>
      </c>
      <c r="G7" s="38"/>
      <c r="H7" s="89"/>
      <c r="I7" s="90"/>
      <c r="J7" s="81"/>
      <c r="K7" s="38"/>
    </row>
    <row r="8" spans="1:11" ht="14">
      <c r="A8" s="37"/>
      <c r="B8" s="45"/>
      <c r="C8" s="56"/>
      <c r="D8" s="58"/>
      <c r="G8" s="38"/>
      <c r="H8" s="89"/>
      <c r="I8" s="90"/>
      <c r="J8" s="81"/>
      <c r="K8" s="38"/>
    </row>
    <row r="9" spans="1:11" ht="14">
      <c r="A9" s="37"/>
      <c r="B9" s="45"/>
      <c r="C9" s="56"/>
      <c r="D9" s="58"/>
      <c r="G9" s="53">
        <v>277.89999999999998</v>
      </c>
      <c r="H9" s="40">
        <v>17.57305565476085</v>
      </c>
      <c r="I9" s="90">
        <f>H9/G9</f>
        <v>6.3235176879312169E-2</v>
      </c>
      <c r="J9" s="81">
        <f>I9*E$7</f>
        <v>8078.4759400901075</v>
      </c>
      <c r="K9" s="54">
        <f>J9/1000/(0.5)/C$7</f>
        <v>1.9727657973358019</v>
      </c>
    </row>
    <row r="10" spans="1:11" ht="14">
      <c r="A10" s="37"/>
      <c r="B10" s="45"/>
      <c r="C10" s="56"/>
      <c r="D10" s="58"/>
      <c r="G10" s="53">
        <v>211.8</v>
      </c>
      <c r="H10" s="40">
        <v>12.711306461261001</v>
      </c>
      <c r="I10" s="90">
        <f t="shared" ref="I10:I11" si="0">H10/G10</f>
        <v>6.0015611242969787E-2</v>
      </c>
      <c r="J10" s="81">
        <f>I10*E$7</f>
        <v>7667.1671588974368</v>
      </c>
      <c r="K10" s="54">
        <f>J10/1000/(0.5)/C$7</f>
        <v>1.8723240925268467</v>
      </c>
    </row>
    <row r="11" spans="1:11" ht="14">
      <c r="A11" s="37"/>
      <c r="B11" s="45"/>
      <c r="C11" s="56"/>
      <c r="D11" s="58"/>
      <c r="G11" s="53">
        <v>128.69999999999999</v>
      </c>
      <c r="H11" s="40">
        <v>7.3632377718237478</v>
      </c>
      <c r="I11" s="90">
        <f t="shared" si="0"/>
        <v>5.7212414699485223E-2</v>
      </c>
      <c r="J11" s="81">
        <f>I11*E$7</f>
        <v>7309.0507283052666</v>
      </c>
      <c r="K11" s="54">
        <f>J11/1000/(0.5)/C$7</f>
        <v>1.7848719727241189</v>
      </c>
    </row>
    <row r="12" spans="1:11">
      <c r="A12" s="37"/>
      <c r="B12" s="37"/>
      <c r="C12" s="56"/>
      <c r="D12" s="47"/>
      <c r="G12" s="38"/>
      <c r="H12" s="59"/>
      <c r="I12" s="49"/>
      <c r="J12" s="50"/>
      <c r="K12" s="57"/>
    </row>
    <row r="13" spans="1:11">
      <c r="A13" s="37"/>
      <c r="B13" s="60" t="s">
        <v>33</v>
      </c>
      <c r="C13" s="61"/>
      <c r="D13" s="47"/>
      <c r="G13" s="38"/>
      <c r="H13" s="59"/>
      <c r="I13" s="91">
        <f>AVERAGE(I9:I11)</f>
        <v>6.0154400940589069E-2</v>
      </c>
      <c r="J13" s="50"/>
      <c r="K13" s="54">
        <f>AVERAGE(K9:K11)</f>
        <v>1.8766539541955893</v>
      </c>
    </row>
    <row r="14" spans="1:11">
      <c r="A14" s="37"/>
      <c r="B14" s="60" t="s">
        <v>34</v>
      </c>
      <c r="C14" s="61"/>
      <c r="D14" s="47"/>
      <c r="G14" s="38"/>
      <c r="H14" s="59"/>
      <c r="I14" s="57">
        <f>STDEV(I9:I11)</f>
        <v>3.0137788578149514E-3</v>
      </c>
      <c r="J14" s="50"/>
      <c r="K14" s="57">
        <f>STDEV(K9:K11)</f>
        <v>9.4021716152994719E-2</v>
      </c>
    </row>
    <row r="15" spans="1:11">
      <c r="A15" s="37"/>
      <c r="B15" s="60" t="s">
        <v>55</v>
      </c>
      <c r="C15" s="61"/>
      <c r="D15" s="47"/>
      <c r="G15" s="38"/>
      <c r="H15" s="59"/>
      <c r="I15" s="62">
        <f>COUNT(I9:I11)</f>
        <v>3</v>
      </c>
      <c r="J15" s="63"/>
      <c r="K15" s="62">
        <f>COUNT(K9:K11)</f>
        <v>3</v>
      </c>
    </row>
    <row r="16" spans="1:11">
      <c r="A16" s="37"/>
      <c r="B16" s="60" t="s">
        <v>56</v>
      </c>
      <c r="C16" s="61"/>
      <c r="D16" s="47"/>
      <c r="G16" s="38"/>
      <c r="H16" s="65"/>
      <c r="I16" s="64">
        <f>I14/I13</f>
        <v>5.0100720989499706E-2</v>
      </c>
      <c r="J16" s="67"/>
      <c r="K16" s="64">
        <f>K14/K13</f>
        <v>5.0100720989499782E-2</v>
      </c>
    </row>
    <row r="17" spans="1:11">
      <c r="A17" s="37"/>
      <c r="B17" s="60"/>
      <c r="C17" s="61"/>
      <c r="D17" s="47"/>
      <c r="G17" s="38"/>
      <c r="H17" s="65"/>
      <c r="I17" s="66"/>
      <c r="J17" s="67"/>
      <c r="K17" s="55"/>
    </row>
    <row r="18" spans="1:11" ht="17">
      <c r="A18" s="77" t="s">
        <v>65</v>
      </c>
      <c r="B18" s="45">
        <v>20</v>
      </c>
      <c r="C18" s="56">
        <v>8.19</v>
      </c>
      <c r="D18" s="92">
        <v>63.977123174710187</v>
      </c>
      <c r="E18" s="38">
        <f>D18*1000</f>
        <v>63977.123174710185</v>
      </c>
      <c r="G18" s="38"/>
      <c r="H18" s="89"/>
      <c r="I18" s="90"/>
      <c r="J18" s="81"/>
      <c r="K18" s="38"/>
    </row>
    <row r="19" spans="1:11" ht="14">
      <c r="A19" s="37"/>
      <c r="B19" s="45"/>
      <c r="C19" s="56"/>
      <c r="D19" s="58"/>
      <c r="G19" s="38"/>
      <c r="H19" s="89"/>
      <c r="I19" s="90"/>
      <c r="J19" s="81"/>
      <c r="K19" s="38"/>
    </row>
    <row r="20" spans="1:11" ht="14">
      <c r="A20" s="37"/>
      <c r="B20" s="45"/>
      <c r="C20" s="56"/>
      <c r="D20" s="58"/>
      <c r="G20" s="53">
        <v>180.5</v>
      </c>
      <c r="H20" s="121">
        <v>10.093928066737982</v>
      </c>
      <c r="I20" s="90">
        <f>H20/G20</f>
        <v>5.592203915090295E-2</v>
      </c>
      <c r="J20" s="81">
        <f>I20*E$18</f>
        <v>3577.7311869382834</v>
      </c>
      <c r="K20" s="54">
        <f>J20/1000/(0.5)/(C$18)</f>
        <v>0.87368282953315846</v>
      </c>
    </row>
    <row r="21" spans="1:11" ht="14">
      <c r="A21" s="37"/>
      <c r="B21" s="45"/>
      <c r="C21" s="56"/>
      <c r="D21" s="58"/>
      <c r="G21" s="53">
        <v>135.30000000000001</v>
      </c>
      <c r="H21" s="122">
        <v>7.5755846345983482</v>
      </c>
      <c r="I21" s="90">
        <f t="shared" ref="I21:I22" si="1">H21/G21</f>
        <v>5.5991017254976704E-2</v>
      </c>
      <c r="J21" s="81">
        <f>I21*E$18</f>
        <v>3582.144207598968</v>
      </c>
      <c r="K21" s="54">
        <f>J21/1000/(0.5)/(C$18)</f>
        <v>0.87476049025615832</v>
      </c>
    </row>
    <row r="22" spans="1:11" ht="14">
      <c r="A22" s="37"/>
      <c r="B22" s="45"/>
      <c r="C22" s="56"/>
      <c r="D22" s="58"/>
      <c r="G22" s="53">
        <v>257.3</v>
      </c>
      <c r="H22" s="122">
        <v>14.587910565985649</v>
      </c>
      <c r="I22" s="90">
        <f t="shared" si="1"/>
        <v>5.6696115685913907E-2</v>
      </c>
      <c r="J22" s="81">
        <f>I22*E$18</f>
        <v>3627.2543767653324</v>
      </c>
      <c r="K22" s="54">
        <f>J22/1000/(0.5)/(C$18)</f>
        <v>0.88577640458249884</v>
      </c>
    </row>
    <row r="23" spans="1:11" ht="14">
      <c r="A23" s="37"/>
      <c r="B23" s="45"/>
      <c r="C23" s="56"/>
      <c r="D23" s="58"/>
      <c r="H23" s="89"/>
      <c r="I23" s="90"/>
      <c r="J23" s="81"/>
      <c r="K23" s="57"/>
    </row>
    <row r="24" spans="1:11">
      <c r="A24" s="37"/>
      <c r="B24" s="37"/>
      <c r="C24" s="56"/>
      <c r="D24" s="47"/>
      <c r="H24" s="59"/>
      <c r="I24" s="49"/>
      <c r="J24" s="50"/>
      <c r="K24" s="57"/>
    </row>
    <row r="25" spans="1:11">
      <c r="A25" s="37"/>
      <c r="B25" s="60" t="s">
        <v>33</v>
      </c>
      <c r="C25" s="61"/>
      <c r="D25" s="47"/>
      <c r="H25" s="59"/>
      <c r="I25" s="91">
        <f>AVERAGE(I20:I22)</f>
        <v>5.6203057363931185E-2</v>
      </c>
      <c r="J25" s="50"/>
      <c r="K25" s="54">
        <f>AVERAGE(K20:K22)</f>
        <v>0.87807324145727195</v>
      </c>
    </row>
    <row r="26" spans="1:11">
      <c r="A26" s="37"/>
      <c r="B26" s="60" t="s">
        <v>34</v>
      </c>
      <c r="C26" s="61"/>
      <c r="D26" s="47"/>
      <c r="H26" s="59"/>
      <c r="I26" s="57">
        <f>STDEV(I20:I22)</f>
        <v>4.283916156599175E-4</v>
      </c>
      <c r="J26" s="50"/>
      <c r="K26" s="57">
        <f>STDEV(K20:K22)</f>
        <v>6.6928603570421642E-3</v>
      </c>
    </row>
    <row r="27" spans="1:11">
      <c r="A27" s="37"/>
      <c r="B27" s="60" t="s">
        <v>55</v>
      </c>
      <c r="C27" s="61"/>
      <c r="D27" s="47"/>
      <c r="H27" s="59"/>
      <c r="I27" s="62">
        <f>COUNT(I20:I22)</f>
        <v>3</v>
      </c>
      <c r="J27" s="63"/>
      <c r="K27" s="62">
        <f>COUNT(K20:K22)</f>
        <v>3</v>
      </c>
    </row>
    <row r="28" spans="1:11">
      <c r="A28" s="37"/>
      <c r="B28" s="60" t="s">
        <v>56</v>
      </c>
      <c r="C28" s="61"/>
      <c r="D28" s="47"/>
      <c r="H28" s="65"/>
      <c r="I28" s="64">
        <f>I26/I25</f>
        <v>7.6222119534522272E-3</v>
      </c>
      <c r="J28" s="67"/>
      <c r="K28" s="64">
        <f>K26/K25</f>
        <v>7.6222119534522298E-3</v>
      </c>
    </row>
    <row r="29" spans="1:11">
      <c r="D29" s="71"/>
    </row>
    <row r="30" spans="1:11" ht="17">
      <c r="A30" s="77"/>
      <c r="B30" s="45"/>
      <c r="C30" s="56"/>
      <c r="D30" s="92"/>
      <c r="G30" s="53"/>
      <c r="H30" s="121"/>
      <c r="I30" s="90"/>
      <c r="J30" s="81"/>
      <c r="K30" s="54"/>
    </row>
    <row r="31" spans="1:11" ht="14">
      <c r="A31" s="37"/>
      <c r="B31" s="45"/>
      <c r="C31" s="56"/>
      <c r="D31" s="58"/>
      <c r="G31" s="51"/>
      <c r="H31" s="122"/>
      <c r="I31" s="90"/>
      <c r="J31" s="81"/>
      <c r="K31" s="54"/>
    </row>
    <row r="32" spans="1:11" ht="14">
      <c r="A32" s="37"/>
      <c r="B32" s="45"/>
      <c r="C32" s="56"/>
      <c r="D32" s="58"/>
      <c r="G32" s="51"/>
      <c r="H32" s="122"/>
      <c r="I32" s="90"/>
      <c r="J32" s="81"/>
      <c r="K32" s="54"/>
    </row>
    <row r="33" spans="1:11" ht="14">
      <c r="A33" s="37"/>
      <c r="B33" s="45"/>
      <c r="C33" s="56"/>
      <c r="D33" s="58"/>
    </row>
    <row r="34" spans="1:11" ht="14">
      <c r="A34" s="37"/>
      <c r="B34" s="45"/>
      <c r="C34" s="56"/>
      <c r="D34" s="58"/>
      <c r="K34" s="54"/>
    </row>
    <row r="35" spans="1:11" ht="14">
      <c r="A35" s="37"/>
      <c r="B35" s="45"/>
      <c r="C35" s="56"/>
      <c r="D35" s="58"/>
      <c r="K35" s="57"/>
    </row>
    <row r="36" spans="1:11">
      <c r="A36" s="37"/>
      <c r="B36" s="37"/>
      <c r="C36" s="56"/>
      <c r="D36" s="47"/>
      <c r="K36" s="62"/>
    </row>
    <row r="37" spans="1:11">
      <c r="A37" s="37"/>
      <c r="B37" s="60"/>
      <c r="C37" s="61"/>
      <c r="D37" s="47"/>
      <c r="K37" s="64"/>
    </row>
    <row r="38" spans="1:11">
      <c r="A38" s="37"/>
      <c r="B38" s="60"/>
      <c r="C38" s="61"/>
      <c r="D38" s="47"/>
    </row>
    <row r="39" spans="1:11">
      <c r="A39" s="37"/>
      <c r="B39" s="60"/>
      <c r="C39" s="61"/>
      <c r="D39" s="47"/>
    </row>
    <row r="40" spans="1:11">
      <c r="A40" s="37"/>
      <c r="B40" s="60"/>
      <c r="C40" s="61"/>
      <c r="D40" s="47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0"/>
  <sheetViews>
    <sheetView zoomScale="125" zoomScaleNormal="125" zoomScalePageLayoutView="125" workbookViewId="0">
      <pane xSplit="2" ySplit="5" topLeftCell="AF6" activePane="bottomRight" state="frozen"/>
      <selection pane="topRight" activeCell="C1" sqref="C1"/>
      <selection pane="bottomLeft" activeCell="A6" sqref="A6"/>
      <selection pane="bottomRight" activeCell="AP35" sqref="AP35"/>
    </sheetView>
  </sheetViews>
  <sheetFormatPr baseColWidth="10" defaultColWidth="11.5" defaultRowHeight="12" x14ac:dyDescent="0"/>
  <cols>
    <col min="1" max="1" width="20.83203125" style="33" customWidth="1"/>
    <col min="2" max="2" width="11.5" style="33" customWidth="1"/>
    <col min="3" max="3" width="9.1640625" style="35" customWidth="1"/>
    <col min="4" max="4" width="13.33203125" style="37" customWidth="1"/>
    <col min="5" max="6" width="13.33203125" style="38" customWidth="1"/>
    <col min="7" max="7" width="10.6640625" style="72" customWidth="1"/>
    <col min="8" max="8" width="12.6640625" style="52" customWidth="1"/>
    <col min="9" max="9" width="10.6640625" style="73" customWidth="1"/>
    <col min="10" max="10" width="11.5" style="33" customWidth="1"/>
    <col min="11" max="12" width="4.6640625" style="33" customWidth="1"/>
    <col min="13" max="13" width="9.1640625" style="51" customWidth="1"/>
    <col min="14" max="14" width="13.5" style="52" customWidth="1"/>
    <col min="15" max="15" width="9.1640625" style="73" customWidth="1"/>
    <col min="16" max="16" width="11.5" style="33" customWidth="1"/>
    <col min="17" max="17" width="4.6640625" style="33" customWidth="1"/>
    <col min="18" max="18" width="10.6640625" style="33" customWidth="1"/>
    <col min="19" max="19" width="3.83203125" style="33" customWidth="1"/>
    <col min="20" max="20" width="11.5" style="40"/>
    <col min="21" max="21" width="13.83203125" style="41" customWidth="1"/>
    <col min="22" max="22" width="11.5" style="42"/>
    <col min="23" max="32" width="11.5" style="33"/>
    <col min="33" max="33" width="14.1640625" style="33" customWidth="1"/>
    <col min="34" max="16384" width="11.5" style="33"/>
  </cols>
  <sheetData>
    <row r="1" spans="1:43">
      <c r="A1" s="25"/>
      <c r="B1" s="25" t="s">
        <v>41</v>
      </c>
      <c r="C1" s="26" t="s">
        <v>57</v>
      </c>
      <c r="D1" s="80" t="s">
        <v>43</v>
      </c>
      <c r="E1" s="81" t="s">
        <v>43</v>
      </c>
      <c r="F1" s="81" t="s">
        <v>44</v>
      </c>
      <c r="G1" s="27" t="s">
        <v>39</v>
      </c>
      <c r="H1" s="28" t="s">
        <v>39</v>
      </c>
      <c r="I1" s="82" t="s">
        <v>39</v>
      </c>
      <c r="J1" s="29" t="s">
        <v>45</v>
      </c>
      <c r="K1" s="29"/>
      <c r="L1" s="30"/>
      <c r="M1" s="31" t="s">
        <v>39</v>
      </c>
      <c r="N1" s="28" t="s">
        <v>39</v>
      </c>
      <c r="O1" s="82" t="s">
        <v>39</v>
      </c>
      <c r="P1" s="29" t="s">
        <v>45</v>
      </c>
      <c r="Q1" s="29"/>
      <c r="R1" s="30"/>
      <c r="S1" s="25"/>
      <c r="T1" s="31" t="s">
        <v>39</v>
      </c>
      <c r="U1" s="32" t="s">
        <v>39</v>
      </c>
      <c r="V1" s="82" t="s">
        <v>39</v>
      </c>
      <c r="W1" s="29" t="s">
        <v>45</v>
      </c>
      <c r="AB1" s="31" t="s">
        <v>75</v>
      </c>
      <c r="AC1" s="31" t="s">
        <v>76</v>
      </c>
      <c r="AD1" s="82" t="s">
        <v>77</v>
      </c>
      <c r="AE1" s="29" t="s">
        <v>74</v>
      </c>
      <c r="AG1" s="81" t="s">
        <v>44</v>
      </c>
      <c r="AH1" s="27" t="s">
        <v>39</v>
      </c>
      <c r="AI1" s="28" t="s">
        <v>39</v>
      </c>
      <c r="AJ1" s="82" t="s">
        <v>39</v>
      </c>
      <c r="AK1" s="29" t="s">
        <v>45</v>
      </c>
      <c r="AM1" s="81" t="s">
        <v>44</v>
      </c>
      <c r="AN1" s="27" t="s">
        <v>39</v>
      </c>
      <c r="AO1" s="28" t="s">
        <v>39</v>
      </c>
      <c r="AP1" s="82" t="s">
        <v>39</v>
      </c>
      <c r="AQ1" s="29" t="s">
        <v>45</v>
      </c>
    </row>
    <row r="2" spans="1:43">
      <c r="A2" s="25" t="s">
        <v>46</v>
      </c>
      <c r="B2" s="25" t="s">
        <v>47</v>
      </c>
      <c r="C2" s="34" t="s">
        <v>48</v>
      </c>
      <c r="D2" s="83" t="s">
        <v>49</v>
      </c>
      <c r="E2" s="84" t="s">
        <v>49</v>
      </c>
      <c r="F2" s="84" t="s">
        <v>58</v>
      </c>
      <c r="G2" s="27" t="s">
        <v>59</v>
      </c>
      <c r="H2" s="28" t="s">
        <v>59</v>
      </c>
      <c r="I2" s="82" t="s">
        <v>59</v>
      </c>
      <c r="J2" s="29" t="s">
        <v>59</v>
      </c>
      <c r="K2" s="29"/>
      <c r="L2" s="30"/>
      <c r="M2" s="31" t="s">
        <v>15</v>
      </c>
      <c r="N2" s="28" t="s">
        <v>15</v>
      </c>
      <c r="O2" s="82" t="s">
        <v>15</v>
      </c>
      <c r="P2" s="29" t="s">
        <v>15</v>
      </c>
      <c r="Q2" s="29"/>
      <c r="R2" s="30"/>
      <c r="S2" s="25"/>
      <c r="T2" s="31" t="s">
        <v>60</v>
      </c>
      <c r="U2" s="32" t="s">
        <v>60</v>
      </c>
      <c r="V2" s="82" t="s">
        <v>60</v>
      </c>
      <c r="W2" s="29" t="s">
        <v>60</v>
      </c>
      <c r="AB2" s="31"/>
      <c r="AC2" s="31"/>
      <c r="AD2" s="82"/>
      <c r="AE2" s="29"/>
      <c r="AG2" s="84"/>
      <c r="AH2" s="27" t="s">
        <v>38</v>
      </c>
      <c r="AI2" s="28" t="s">
        <v>38</v>
      </c>
      <c r="AJ2" s="82" t="s">
        <v>38</v>
      </c>
      <c r="AK2" s="29" t="s">
        <v>38</v>
      </c>
      <c r="AM2" s="84"/>
      <c r="AN2" s="27" t="s">
        <v>85</v>
      </c>
      <c r="AO2" s="27" t="s">
        <v>85</v>
      </c>
      <c r="AP2" s="27" t="s">
        <v>85</v>
      </c>
      <c r="AQ2" s="27" t="s">
        <v>85</v>
      </c>
    </row>
    <row r="3" spans="1:43">
      <c r="D3" s="83" t="s">
        <v>50</v>
      </c>
      <c r="E3" s="84" t="s">
        <v>51</v>
      </c>
      <c r="F3" s="84" t="s">
        <v>51</v>
      </c>
      <c r="G3" s="27" t="s">
        <v>52</v>
      </c>
      <c r="H3" s="28" t="s">
        <v>53</v>
      </c>
      <c r="I3" s="82" t="s">
        <v>54</v>
      </c>
      <c r="J3" s="29"/>
      <c r="K3" s="29"/>
      <c r="L3" s="30"/>
      <c r="M3" s="31" t="s">
        <v>52</v>
      </c>
      <c r="N3" s="28" t="s">
        <v>53</v>
      </c>
      <c r="O3" s="82" t="s">
        <v>54</v>
      </c>
      <c r="P3" s="29"/>
      <c r="Q3" s="29"/>
      <c r="R3" s="25" t="s">
        <v>61</v>
      </c>
      <c r="S3" s="25"/>
      <c r="T3" s="31" t="s">
        <v>52</v>
      </c>
      <c r="U3" s="32" t="s">
        <v>53</v>
      </c>
      <c r="V3" s="82" t="s">
        <v>54</v>
      </c>
      <c r="W3" s="29"/>
      <c r="Y3" s="25" t="s">
        <v>62</v>
      </c>
      <c r="Z3" s="25" t="s">
        <v>63</v>
      </c>
      <c r="AB3" s="31" t="s">
        <v>52</v>
      </c>
      <c r="AC3" s="31"/>
      <c r="AD3" s="82" t="s">
        <v>54</v>
      </c>
      <c r="AE3" s="29"/>
      <c r="AG3" s="84" t="s">
        <v>51</v>
      </c>
      <c r="AH3" s="27" t="s">
        <v>52</v>
      </c>
      <c r="AI3" s="28" t="s">
        <v>53</v>
      </c>
      <c r="AJ3" s="82" t="s">
        <v>54</v>
      </c>
      <c r="AK3" s="29"/>
      <c r="AM3" s="84" t="s">
        <v>51</v>
      </c>
      <c r="AN3" s="27" t="s">
        <v>52</v>
      </c>
      <c r="AO3" s="28" t="s">
        <v>53</v>
      </c>
      <c r="AP3" s="82" t="s">
        <v>54</v>
      </c>
      <c r="AQ3" s="29"/>
    </row>
    <row r="4" spans="1:43" ht="17">
      <c r="A4" s="36" t="s">
        <v>78</v>
      </c>
      <c r="G4" s="27"/>
      <c r="H4" s="28"/>
      <c r="I4" s="39"/>
      <c r="J4" s="29"/>
      <c r="K4" s="29"/>
      <c r="L4" s="30"/>
      <c r="M4" s="31"/>
      <c r="N4" s="28"/>
      <c r="O4" s="39"/>
      <c r="P4" s="29"/>
      <c r="Q4" s="29"/>
      <c r="R4" s="25"/>
      <c r="S4" s="25"/>
      <c r="AG4" s="38"/>
      <c r="AH4" s="27"/>
      <c r="AI4" s="28"/>
      <c r="AJ4" s="39"/>
      <c r="AK4" s="29"/>
      <c r="AM4" s="38"/>
      <c r="AN4" s="27"/>
      <c r="AO4" s="28"/>
      <c r="AP4" s="39"/>
      <c r="AQ4" s="29"/>
    </row>
    <row r="5" spans="1:43">
      <c r="G5" s="27"/>
      <c r="H5" s="28"/>
      <c r="I5" s="39"/>
      <c r="J5" s="29"/>
      <c r="K5" s="29"/>
      <c r="L5" s="30"/>
      <c r="M5" s="31"/>
      <c r="N5" s="28"/>
      <c r="O5" s="39"/>
      <c r="P5" s="29"/>
      <c r="Q5" s="29"/>
      <c r="R5" s="25"/>
      <c r="S5" s="25"/>
      <c r="V5" s="43"/>
      <c r="W5" s="44"/>
      <c r="AG5" s="38"/>
      <c r="AH5" s="27"/>
      <c r="AI5" s="28"/>
      <c r="AJ5" s="39"/>
      <c r="AK5" s="29"/>
      <c r="AM5" s="38"/>
      <c r="AN5" s="27"/>
      <c r="AO5" s="28"/>
      <c r="AP5" s="39"/>
      <c r="AQ5" s="29"/>
    </row>
    <row r="6" spans="1:43">
      <c r="G6" s="27"/>
      <c r="H6" s="28"/>
      <c r="I6" s="39"/>
      <c r="J6" s="29"/>
      <c r="K6" s="29"/>
      <c r="L6" s="30"/>
      <c r="M6" s="31"/>
      <c r="N6" s="28"/>
      <c r="O6" s="39"/>
      <c r="P6" s="29"/>
      <c r="Q6" s="29"/>
      <c r="R6" s="25"/>
      <c r="S6" s="25"/>
      <c r="V6" s="43"/>
      <c r="W6" s="44"/>
      <c r="AG6" s="38"/>
      <c r="AH6" s="27"/>
      <c r="AI6" s="28"/>
      <c r="AJ6" s="39"/>
      <c r="AK6" s="29"/>
      <c r="AM6" s="38"/>
      <c r="AN6" s="27"/>
      <c r="AO6" s="28"/>
      <c r="AP6" s="39"/>
      <c r="AQ6" s="29"/>
    </row>
    <row r="7" spans="1:43" ht="17">
      <c r="A7" s="93" t="s">
        <v>79</v>
      </c>
      <c r="B7" s="78" t="s">
        <v>80</v>
      </c>
      <c r="C7" s="56">
        <v>18</v>
      </c>
      <c r="D7" s="92">
        <v>134.08089880351031</v>
      </c>
      <c r="E7" s="38">
        <f>D7*1000</f>
        <v>134080.8988035103</v>
      </c>
      <c r="G7" s="87"/>
      <c r="H7" s="88"/>
      <c r="I7" s="81"/>
      <c r="J7" s="57"/>
      <c r="K7" s="47"/>
      <c r="L7" s="46"/>
      <c r="M7" s="89"/>
      <c r="N7" s="90"/>
      <c r="O7" s="81"/>
      <c r="P7" s="38"/>
      <c r="Q7" s="47"/>
      <c r="R7" s="46"/>
      <c r="S7" s="25"/>
      <c r="T7" s="54"/>
      <c r="U7" s="55"/>
      <c r="V7" s="43"/>
      <c r="W7" s="44"/>
      <c r="AG7" s="38"/>
      <c r="AH7" s="87"/>
      <c r="AI7" s="88"/>
      <c r="AJ7" s="81"/>
      <c r="AK7" s="57"/>
      <c r="AM7" s="38"/>
      <c r="AN7" s="87"/>
      <c r="AO7" s="88"/>
      <c r="AP7" s="81"/>
      <c r="AQ7" s="57"/>
    </row>
    <row r="8" spans="1:43" ht="14">
      <c r="A8" s="37"/>
      <c r="B8" s="45"/>
      <c r="C8" s="56"/>
      <c r="D8" s="58"/>
      <c r="G8" s="87"/>
      <c r="H8" s="88"/>
      <c r="I8" s="81"/>
      <c r="J8" s="57"/>
      <c r="K8" s="47"/>
      <c r="L8" s="46"/>
      <c r="M8" s="89"/>
      <c r="N8" s="90"/>
      <c r="O8" s="81"/>
      <c r="P8" s="38"/>
      <c r="Q8" s="47"/>
      <c r="R8" s="46"/>
      <c r="S8" s="25"/>
      <c r="T8" s="54"/>
      <c r="U8" s="55"/>
      <c r="V8" s="43"/>
      <c r="W8" s="44"/>
      <c r="AB8" s="40"/>
      <c r="AC8" s="40"/>
      <c r="AD8" s="40"/>
      <c r="AG8" s="38"/>
      <c r="AH8" s="87"/>
      <c r="AI8" s="88"/>
      <c r="AJ8" s="81"/>
      <c r="AK8" s="57"/>
      <c r="AM8" s="38"/>
      <c r="AN8" s="87"/>
      <c r="AO8" s="88"/>
      <c r="AP8" s="81"/>
      <c r="AQ8" s="57"/>
    </row>
    <row r="9" spans="1:43" ht="14">
      <c r="A9" s="37"/>
      <c r="B9" s="45"/>
      <c r="C9" s="56"/>
      <c r="D9" s="58"/>
      <c r="F9" s="53">
        <v>802.1</v>
      </c>
      <c r="G9" s="40">
        <v>18.645883813673702</v>
      </c>
      <c r="H9" s="88">
        <f>G9/F9</f>
        <v>2.324633314259282E-2</v>
      </c>
      <c r="I9" s="81">
        <f>H9*E7</f>
        <v>3116.8892416446756</v>
      </c>
      <c r="J9" s="54">
        <f>I9/1000/(0.5)/(C$7)</f>
        <v>0.34632102684940835</v>
      </c>
      <c r="K9" s="47"/>
      <c r="L9" s="46"/>
      <c r="M9" s="40">
        <v>165.49433738435116</v>
      </c>
      <c r="N9" s="90">
        <f>M9/F9</f>
        <v>0.20632631515316188</v>
      </c>
      <c r="O9" s="81">
        <f>N9*E$7</f>
        <v>27664.417782552271</v>
      </c>
      <c r="P9" s="54">
        <f>O9/1000/(0.5)/C$7</f>
        <v>3.0738241980613634</v>
      </c>
      <c r="Q9" s="47"/>
      <c r="R9" s="46">
        <f>(N9/12.011)/(H9/14.0067)</f>
        <v>10.350392630805171</v>
      </c>
      <c r="S9" s="25"/>
      <c r="T9" s="40">
        <v>15.99863267195393</v>
      </c>
      <c r="U9" s="55">
        <f>T9/F9</f>
        <v>1.994593276643053E-2</v>
      </c>
      <c r="V9" s="43">
        <f>U9*E$7</f>
        <v>2674.368592797392</v>
      </c>
      <c r="W9" s="54">
        <f>V9/1000/(0.5)/C$7</f>
        <v>0.29715206586637688</v>
      </c>
      <c r="Y9" s="54">
        <f>(U9/1.00794)/(N9/12.011)</f>
        <v>1.1519780797040691</v>
      </c>
      <c r="Z9" s="54">
        <f>(N9/12.011)/(U9/1.00794)</f>
        <v>0.86807207326105484</v>
      </c>
      <c r="AB9" s="40">
        <v>1181.2335903227142</v>
      </c>
      <c r="AC9" s="40">
        <f>AB9/1000</f>
        <v>1.1812335903227142</v>
      </c>
      <c r="AD9" s="40">
        <f>AC9*D$7</f>
        <v>158.38086148736701</v>
      </c>
      <c r="AE9" s="40">
        <f>AD9/0.5/18</f>
        <v>17.597873498596336</v>
      </c>
      <c r="AG9" s="15">
        <v>143.1</v>
      </c>
      <c r="AH9" s="40">
        <v>9.2006254772104459</v>
      </c>
      <c r="AI9" s="88">
        <f>AH9/AG9</f>
        <v>6.4295076710066013E-2</v>
      </c>
      <c r="AJ9" s="81">
        <f>AI9*E7</f>
        <v>8620.7416739262935</v>
      </c>
      <c r="AK9" s="54">
        <f>AJ9/1000/(0.5)/(C$7)</f>
        <v>0.95786018599181033</v>
      </c>
      <c r="AM9" s="15">
        <v>361.20000000000005</v>
      </c>
      <c r="AN9" s="40">
        <v>0.78427526262850333</v>
      </c>
      <c r="AO9" s="88">
        <f>AN9/AM9</f>
        <v>2.1713047138109168E-3</v>
      </c>
      <c r="AP9" s="81">
        <f>AO9*E7</f>
        <v>291.13048760406645</v>
      </c>
      <c r="AQ9" s="55">
        <f>AP9/1000/(0.5)/(C$7)</f>
        <v>3.2347831956007385E-2</v>
      </c>
    </row>
    <row r="10" spans="1:43" ht="14">
      <c r="A10" s="37"/>
      <c r="B10" s="45"/>
      <c r="C10" s="56"/>
      <c r="D10" s="58"/>
      <c r="F10" s="53">
        <v>962.1</v>
      </c>
      <c r="G10" s="40">
        <v>21.328744794058409</v>
      </c>
      <c r="H10" s="88">
        <f>G10/F10</f>
        <v>2.2168947920235327E-2</v>
      </c>
      <c r="I10" s="81">
        <f>H10*E7</f>
        <v>2972.4324626733628</v>
      </c>
      <c r="J10" s="54">
        <f t="shared" ref="J10:J11" si="0">I10/1000/(0.5)/(C$7)</f>
        <v>0.33027027363037365</v>
      </c>
      <c r="K10" s="47"/>
      <c r="L10" s="46"/>
      <c r="M10" s="40">
        <v>194.78795429272498</v>
      </c>
      <c r="N10" s="90">
        <f>M10/F10</f>
        <v>0.20246123510313374</v>
      </c>
      <c r="O10" s="81">
        <f>N10*E$7</f>
        <v>27146.184375496981</v>
      </c>
      <c r="P10" s="54">
        <f t="shared" ref="P10:P11" si="1">O10/1000/(0.5)/C$7</f>
        <v>3.0162427083885537</v>
      </c>
      <c r="Q10" s="47"/>
      <c r="R10" s="46">
        <f>(N10/12.011)/(H10/14.0067)</f>
        <v>10.65009443477542</v>
      </c>
      <c r="S10" s="25"/>
      <c r="T10" s="40">
        <v>19.060806990946134</v>
      </c>
      <c r="U10" s="55">
        <f>T10/F10</f>
        <v>1.9811669255738629E-2</v>
      </c>
      <c r="V10" s="43">
        <f>U10*E$7</f>
        <v>2656.3664206073072</v>
      </c>
      <c r="W10" s="54">
        <f t="shared" ref="W10:W11" si="2">V10/1000/(0.5)/C$7</f>
        <v>0.29515182451192301</v>
      </c>
      <c r="Y10" s="54">
        <f>(U10/1.00794)/(N10/12.011)</f>
        <v>1.1660674531771589</v>
      </c>
      <c r="Z10" s="54">
        <f t="shared" ref="Z10:Z11" si="3">(N10/12.011)/(U10/1.00794)</f>
        <v>0.85758332185271235</v>
      </c>
      <c r="AB10" s="40">
        <v>1020.64</v>
      </c>
      <c r="AC10" s="40">
        <f t="shared" ref="AC10:AC11" si="4">AB10/1000</f>
        <v>1.02064</v>
      </c>
      <c r="AD10" s="40">
        <f t="shared" ref="AD10:AD11" si="5">AC10*D$7</f>
        <v>136.84832855481477</v>
      </c>
      <c r="AE10" s="40">
        <f t="shared" ref="AE10:AE11" si="6">AD10/0.5/18</f>
        <v>15.205369839423863</v>
      </c>
      <c r="AG10" s="15">
        <v>109.8</v>
      </c>
      <c r="AH10" s="40">
        <v>7.6059457179567609</v>
      </c>
      <c r="AI10" s="88">
        <f>AH10/AG10</f>
        <v>6.9270908178112572E-2</v>
      </c>
      <c r="AJ10" s="81">
        <f>AI10*E7</f>
        <v>9287.9056294567654</v>
      </c>
      <c r="AK10" s="54">
        <f>AJ10/1000/(0.5)/(C$7)</f>
        <v>1.0319895143840851</v>
      </c>
      <c r="AM10" s="15">
        <v>503.6</v>
      </c>
      <c r="AN10" s="40">
        <v>1.1704031218153335</v>
      </c>
      <c r="AO10" s="88">
        <f>AN10/AM10</f>
        <v>2.3240729186166272E-3</v>
      </c>
      <c r="AP10" s="81">
        <f>AO10*E7</f>
        <v>311.61378581301483</v>
      </c>
      <c r="AQ10" s="55">
        <f>AP10/1000/(0.5)/(C$7)</f>
        <v>3.4623753979223876E-2</v>
      </c>
    </row>
    <row r="11" spans="1:43" ht="14">
      <c r="A11" s="37"/>
      <c r="B11" s="45"/>
      <c r="C11" s="56"/>
      <c r="D11" s="58"/>
      <c r="F11" s="53">
        <v>866.1</v>
      </c>
      <c r="G11" s="40">
        <v>18.780026862692939</v>
      </c>
      <c r="H11" s="88">
        <f>G11/F11</f>
        <v>2.16834393980983E-2</v>
      </c>
      <c r="I11" s="81">
        <f>H11*E7</f>
        <v>2907.3350436484661</v>
      </c>
      <c r="J11" s="54">
        <f t="shared" si="0"/>
        <v>0.32303722707205179</v>
      </c>
      <c r="K11" s="47"/>
      <c r="L11" s="46"/>
      <c r="M11" s="40">
        <v>174.88581257258397</v>
      </c>
      <c r="N11" s="90">
        <f>M11/F11</f>
        <v>0.20192334900425352</v>
      </c>
      <c r="O11" s="81">
        <f>N11*E$7</f>
        <v>27074.064123905206</v>
      </c>
      <c r="P11" s="54">
        <f t="shared" si="1"/>
        <v>3.0082293471005785</v>
      </c>
      <c r="Q11" s="47"/>
      <c r="R11" s="46">
        <f>(N11/12.011)/(H11/14.0067)</f>
        <v>10.859630035285456</v>
      </c>
      <c r="S11" s="25"/>
      <c r="T11" s="40">
        <v>17.063024814919135</v>
      </c>
      <c r="U11" s="55">
        <f>T11/F11</f>
        <v>1.9700986970233383E-2</v>
      </c>
      <c r="V11" s="43">
        <f>U11*E$7</f>
        <v>2641.5260402851372</v>
      </c>
      <c r="W11" s="54">
        <f t="shared" si="2"/>
        <v>0.29350289336501523</v>
      </c>
      <c r="Y11" s="54">
        <f>(U11/1.00794)/(N11/12.011)</f>
        <v>1.1626417912301883</v>
      </c>
      <c r="Z11" s="54">
        <f t="shared" si="3"/>
        <v>0.8601101453113108</v>
      </c>
      <c r="AB11" s="40">
        <v>1085.56</v>
      </c>
      <c r="AC11" s="40">
        <f t="shared" si="4"/>
        <v>1.0855599999999999</v>
      </c>
      <c r="AD11" s="40">
        <f t="shared" si="5"/>
        <v>145.55286050513863</v>
      </c>
      <c r="AE11" s="40">
        <f t="shared" si="6"/>
        <v>16.172540056126515</v>
      </c>
      <c r="AG11" s="15">
        <v>171.5</v>
      </c>
      <c r="AH11" s="40">
        <v>11.459996097132203</v>
      </c>
      <c r="AI11" s="88">
        <f>AH11/AG11</f>
        <v>6.6822134677155698E-2</v>
      </c>
      <c r="AJ11" s="81">
        <f>AI11*E7</f>
        <v>8959.571877482249</v>
      </c>
      <c r="AK11" s="54">
        <f>AJ11/1000/(0.5)/(C$7)</f>
        <v>0.99550798638691651</v>
      </c>
      <c r="AM11" s="15">
        <v>657.90000000000009</v>
      </c>
      <c r="AN11" s="40">
        <v>1.6406677907860643</v>
      </c>
      <c r="AO11" s="88">
        <f>AN11/AM11</f>
        <v>2.4937950916340845E-3</v>
      </c>
      <c r="AP11" s="81">
        <f>AO11*E7</f>
        <v>334.37028731808039</v>
      </c>
      <c r="AQ11" s="55">
        <f>AP11/1000/(0.5)/(C$7)</f>
        <v>3.7152254146453373E-2</v>
      </c>
    </row>
    <row r="12" spans="1:43">
      <c r="A12" s="37"/>
      <c r="B12" s="37"/>
      <c r="C12" s="56"/>
      <c r="D12" s="47"/>
      <c r="G12" s="69"/>
      <c r="H12" s="70"/>
      <c r="I12" s="29"/>
      <c r="J12" s="57"/>
      <c r="K12" s="47"/>
      <c r="L12" s="46"/>
      <c r="M12" s="59"/>
      <c r="N12" s="49"/>
      <c r="O12" s="50"/>
      <c r="P12" s="57"/>
      <c r="Q12" s="47"/>
      <c r="R12" s="46"/>
      <c r="S12" s="25"/>
      <c r="T12" s="54"/>
      <c r="U12" s="55"/>
      <c r="V12" s="43"/>
      <c r="W12" s="57"/>
      <c r="AB12" s="40"/>
      <c r="AC12" s="40"/>
      <c r="AD12" s="40"/>
      <c r="AE12" s="40"/>
      <c r="AG12" s="38"/>
      <c r="AH12" s="69"/>
      <c r="AI12" s="70"/>
      <c r="AJ12" s="29"/>
      <c r="AK12" s="57"/>
      <c r="AM12" s="38"/>
      <c r="AN12" s="69"/>
      <c r="AO12" s="70"/>
      <c r="AP12" s="29"/>
      <c r="AQ12" s="76"/>
    </row>
    <row r="13" spans="1:43">
      <c r="A13" s="37"/>
      <c r="B13" s="60" t="s">
        <v>33</v>
      </c>
      <c r="C13" s="61"/>
      <c r="D13" s="47"/>
      <c r="G13" s="48"/>
      <c r="H13" s="49"/>
      <c r="I13" s="50"/>
      <c r="J13" s="54">
        <f>AVERAGE(J9:J11)</f>
        <v>0.3332095091839446</v>
      </c>
      <c r="K13" s="43"/>
      <c r="L13" s="57"/>
      <c r="M13" s="59"/>
      <c r="N13" s="49"/>
      <c r="O13" s="50"/>
      <c r="P13" s="54">
        <f>AVERAGE(P9:P11)</f>
        <v>3.0327654178501651</v>
      </c>
      <c r="Q13" s="38"/>
      <c r="R13" s="54">
        <f>AVERAGE(R9:R11)</f>
        <v>10.620039033622016</v>
      </c>
      <c r="T13" s="54"/>
      <c r="U13" s="55"/>
      <c r="V13" s="43"/>
      <c r="W13" s="54">
        <f>AVERAGE(W9:W11)</f>
        <v>0.29526892791443837</v>
      </c>
      <c r="Y13" s="54">
        <f>AVERAGE(Y9:Y11)</f>
        <v>1.1602291080371387</v>
      </c>
      <c r="Z13" s="54">
        <f>AVERAGE(Z9:Z11)</f>
        <v>0.86192184680835926</v>
      </c>
      <c r="AB13" s="40">
        <f>AVERAGE(AB9:AB11)</f>
        <v>1095.8111967742382</v>
      </c>
      <c r="AC13" s="40"/>
      <c r="AD13" s="40"/>
      <c r="AE13" s="40">
        <f>AVERAGE(AE9:AE11)</f>
        <v>16.325261131382238</v>
      </c>
      <c r="AG13" s="38"/>
      <c r="AH13" s="48"/>
      <c r="AI13" s="49"/>
      <c r="AJ13" s="50"/>
      <c r="AK13" s="54">
        <f>AVERAGE(AK9:AK11)</f>
        <v>0.99511922892093729</v>
      </c>
      <c r="AM13" s="38"/>
      <c r="AN13" s="48"/>
      <c r="AO13" s="49"/>
      <c r="AP13" s="50"/>
      <c r="AQ13" s="55">
        <f>AVERAGE(AQ9:AQ11)</f>
        <v>3.4707946693894876E-2</v>
      </c>
    </row>
    <row r="14" spans="1:43">
      <c r="A14" s="37"/>
      <c r="B14" s="60" t="s">
        <v>34</v>
      </c>
      <c r="C14" s="61"/>
      <c r="D14" s="47"/>
      <c r="G14" s="48"/>
      <c r="H14" s="49"/>
      <c r="I14" s="50"/>
      <c r="J14" s="57">
        <f>STDEV(J9:J11)</f>
        <v>1.1916927550654112E-2</v>
      </c>
      <c r="K14" s="38"/>
      <c r="L14" s="57"/>
      <c r="M14" s="59"/>
      <c r="N14" s="49"/>
      <c r="O14" s="50"/>
      <c r="P14" s="57">
        <f>STDEV(P9:P11)</f>
        <v>3.5782971705917821E-2</v>
      </c>
      <c r="Q14" s="38"/>
      <c r="R14" s="57">
        <f>STDEV(R9:R11)</f>
        <v>0.2559456561153623</v>
      </c>
      <c r="T14" s="54"/>
      <c r="U14" s="55"/>
      <c r="V14" s="43"/>
      <c r="W14" s="57">
        <f>STDEV(W9:W11)</f>
        <v>1.8274024984480078E-3</v>
      </c>
      <c r="Y14" s="57">
        <f>STDEV(Y9:Y11)</f>
        <v>7.3480195534966763E-3</v>
      </c>
      <c r="Z14" s="57">
        <f>STDEV(Z9:Z11)</f>
        <v>5.4740454201904053E-3</v>
      </c>
      <c r="AB14" s="40">
        <f>STDEV(AB9:AB11)</f>
        <v>80.786079182387965</v>
      </c>
      <c r="AC14" s="40"/>
      <c r="AD14" s="40"/>
      <c r="AE14" s="40">
        <f>STDEV(AE9:AE11)</f>
        <v>1.2035411230651265</v>
      </c>
      <c r="AG14" s="38"/>
      <c r="AH14" s="48"/>
      <c r="AI14" s="49"/>
      <c r="AJ14" s="50"/>
      <c r="AK14" s="57">
        <f>STDEV(AK9:AK11)</f>
        <v>3.7066193239230084E-2</v>
      </c>
      <c r="AM14" s="38"/>
      <c r="AN14" s="48"/>
      <c r="AO14" s="49"/>
      <c r="AP14" s="50"/>
      <c r="AQ14" s="76">
        <f>STDEV(AQ9:AQ11)</f>
        <v>2.4033173855975017E-3</v>
      </c>
    </row>
    <row r="15" spans="1:43">
      <c r="A15" s="37"/>
      <c r="B15" s="60" t="s">
        <v>55</v>
      </c>
      <c r="C15" s="61"/>
      <c r="D15" s="47"/>
      <c r="G15" s="48"/>
      <c r="H15" s="49"/>
      <c r="I15" s="50"/>
      <c r="J15" s="62">
        <f>COUNT(J9:J11)</f>
        <v>3</v>
      </c>
      <c r="K15" s="62"/>
      <c r="L15" s="62"/>
      <c r="M15" s="59"/>
      <c r="N15" s="49"/>
      <c r="O15" s="63"/>
      <c r="P15" s="62">
        <f>COUNT(P9:P11)</f>
        <v>3</v>
      </c>
      <c r="Q15" s="62"/>
      <c r="R15" s="62">
        <f>COUNT(R9:R11)</f>
        <v>3</v>
      </c>
      <c r="T15" s="54"/>
      <c r="U15" s="55"/>
      <c r="V15" s="43"/>
      <c r="W15" s="62">
        <f>COUNT(W9:W11)</f>
        <v>3</v>
      </c>
      <c r="Y15" s="62">
        <f>COUNT(Y9:Y11)</f>
        <v>3</v>
      </c>
      <c r="Z15" s="62">
        <f>COUNT(Z9:Z11)</f>
        <v>3</v>
      </c>
      <c r="AB15" s="40">
        <f>AB14/AB13</f>
        <v>7.3722626142349701E-2</v>
      </c>
      <c r="AC15" s="40"/>
      <c r="AD15" s="40"/>
      <c r="AE15" s="40">
        <f>AE14/AE13</f>
        <v>7.3722626142349756E-2</v>
      </c>
      <c r="AG15" s="38"/>
      <c r="AH15" s="48"/>
      <c r="AI15" s="49"/>
      <c r="AJ15" s="50"/>
      <c r="AK15" s="62">
        <f>COUNT(AK9:AK11)</f>
        <v>3</v>
      </c>
      <c r="AM15" s="38"/>
      <c r="AN15" s="48"/>
      <c r="AO15" s="49"/>
      <c r="AP15" s="50"/>
      <c r="AQ15" s="62">
        <f>COUNT(AQ9:AQ11)</f>
        <v>3</v>
      </c>
    </row>
    <row r="16" spans="1:43">
      <c r="A16" s="37"/>
      <c r="B16" s="60" t="s">
        <v>56</v>
      </c>
      <c r="C16" s="61"/>
      <c r="D16" s="47"/>
      <c r="G16" s="48"/>
      <c r="H16" s="49"/>
      <c r="I16" s="50"/>
      <c r="J16" s="64">
        <f>J14/J13</f>
        <v>3.5764068017865316E-2</v>
      </c>
      <c r="K16" s="64"/>
      <c r="L16" s="64"/>
      <c r="M16" s="65"/>
      <c r="N16" s="66"/>
      <c r="O16" s="67"/>
      <c r="P16" s="64">
        <f>P14/P13</f>
        <v>1.1798793106551339E-2</v>
      </c>
      <c r="Q16" s="68"/>
      <c r="R16" s="64">
        <f>R14/R13</f>
        <v>2.4100255686920088E-2</v>
      </c>
      <c r="T16" s="54"/>
      <c r="U16" s="55"/>
      <c r="V16" s="43"/>
      <c r="W16" s="64">
        <f>W14/W13</f>
        <v>6.1889427761851858E-3</v>
      </c>
      <c r="Y16" s="64">
        <f>Y14/Y13</f>
        <v>6.3332487545739698E-3</v>
      </c>
      <c r="Z16" s="64">
        <f>Z14/Z13</f>
        <v>6.3509765304829444E-3</v>
      </c>
      <c r="AB16" s="40"/>
      <c r="AC16" s="40"/>
      <c r="AD16" s="40"/>
      <c r="AE16" s="40"/>
      <c r="AG16" s="38"/>
      <c r="AH16" s="48"/>
      <c r="AI16" s="49"/>
      <c r="AJ16" s="50"/>
      <c r="AK16" s="64">
        <f>AK14/AK13</f>
        <v>3.7247992162128152E-2</v>
      </c>
      <c r="AM16" s="38"/>
      <c r="AN16" s="48"/>
      <c r="AO16" s="49"/>
      <c r="AP16" s="50"/>
      <c r="AQ16" s="64">
        <f>AQ14/AQ13</f>
        <v>6.924400935593937E-2</v>
      </c>
    </row>
    <row r="17" spans="1:43">
      <c r="A17" s="37"/>
      <c r="B17" s="60"/>
      <c r="C17" s="61"/>
      <c r="D17" s="47"/>
      <c r="G17" s="48"/>
      <c r="H17" s="49"/>
      <c r="I17" s="50"/>
      <c r="J17" s="64"/>
      <c r="K17" s="64"/>
      <c r="L17" s="64"/>
      <c r="M17" s="65"/>
      <c r="N17" s="66"/>
      <c r="O17" s="67"/>
      <c r="P17" s="55"/>
      <c r="Q17" s="68"/>
      <c r="R17" s="64"/>
      <c r="T17" s="54"/>
      <c r="U17" s="55"/>
      <c r="V17" s="43"/>
      <c r="W17" s="64"/>
      <c r="Y17" s="64"/>
      <c r="AB17" s="40"/>
      <c r="AC17" s="40"/>
      <c r="AD17" s="40"/>
      <c r="AE17" s="40"/>
      <c r="AG17" s="38"/>
      <c r="AH17" s="48"/>
      <c r="AI17" s="49"/>
      <c r="AJ17" s="50"/>
      <c r="AK17" s="64"/>
      <c r="AM17" s="38"/>
      <c r="AN17" s="48"/>
      <c r="AO17" s="49"/>
      <c r="AP17" s="50"/>
      <c r="AQ17" s="64"/>
    </row>
    <row r="18" spans="1:43" ht="17">
      <c r="A18" s="93" t="s">
        <v>81</v>
      </c>
      <c r="B18" s="45" t="s">
        <v>82</v>
      </c>
      <c r="C18" s="56">
        <v>18</v>
      </c>
      <c r="D18" s="92">
        <v>171.78164341482145</v>
      </c>
      <c r="E18" s="38">
        <f>D18*1000</f>
        <v>171781.64341482145</v>
      </c>
      <c r="G18" s="87"/>
      <c r="H18" s="88"/>
      <c r="I18" s="81"/>
      <c r="J18" s="57"/>
      <c r="K18" s="47"/>
      <c r="L18" s="46"/>
      <c r="M18" s="89"/>
      <c r="N18" s="90"/>
      <c r="O18" s="81"/>
      <c r="P18" s="38"/>
      <c r="Q18" s="47"/>
      <c r="R18" s="46"/>
      <c r="S18" s="25"/>
      <c r="T18" s="54"/>
      <c r="U18" s="55"/>
      <c r="V18" s="43"/>
      <c r="W18" s="44"/>
      <c r="AB18" s="40"/>
      <c r="AC18" s="40"/>
      <c r="AD18" s="40"/>
      <c r="AE18" s="40"/>
      <c r="AG18" s="38"/>
      <c r="AH18" s="87"/>
      <c r="AI18" s="88"/>
      <c r="AJ18" s="81"/>
      <c r="AK18" s="57"/>
      <c r="AM18" s="38"/>
      <c r="AN18" s="87"/>
      <c r="AO18" s="88"/>
      <c r="AP18" s="81"/>
      <c r="AQ18" s="57"/>
    </row>
    <row r="19" spans="1:43" ht="14">
      <c r="A19" s="37"/>
      <c r="B19" s="45"/>
      <c r="C19" s="56"/>
      <c r="D19" s="58"/>
      <c r="G19" s="87"/>
      <c r="H19" s="88"/>
      <c r="I19" s="81"/>
      <c r="J19" s="57"/>
      <c r="K19" s="47"/>
      <c r="L19" s="46"/>
      <c r="M19" s="89"/>
      <c r="N19" s="90"/>
      <c r="O19" s="81"/>
      <c r="P19" s="38"/>
      <c r="Q19" s="47"/>
      <c r="R19" s="46"/>
      <c r="S19" s="25"/>
      <c r="T19" s="54"/>
      <c r="U19" s="55"/>
      <c r="V19" s="43"/>
      <c r="W19" s="44"/>
      <c r="AB19" s="40"/>
      <c r="AC19" s="40"/>
      <c r="AD19" s="40"/>
      <c r="AE19" s="40"/>
      <c r="AG19" s="38"/>
      <c r="AH19" s="87"/>
      <c r="AI19" s="88"/>
      <c r="AJ19" s="81"/>
      <c r="AK19" s="57"/>
      <c r="AM19" s="38"/>
      <c r="AN19" s="87"/>
      <c r="AO19" s="88"/>
      <c r="AP19" s="81"/>
      <c r="AQ19" s="57"/>
    </row>
    <row r="20" spans="1:43" ht="14">
      <c r="A20" s="37"/>
      <c r="B20" s="45"/>
      <c r="C20" s="56"/>
      <c r="D20" s="58"/>
      <c r="F20" s="53">
        <v>1060.3</v>
      </c>
      <c r="G20" s="40">
        <v>14.353306245058175</v>
      </c>
      <c r="H20" s="88">
        <f>G20/F20</f>
        <v>1.3537023715041192E-2</v>
      </c>
      <c r="I20" s="81">
        <f>H20*E18</f>
        <v>2325.4121807151873</v>
      </c>
      <c r="J20" s="54">
        <f>I20/1000/(0.5)/(C$18)</f>
        <v>0.25837913119057637</v>
      </c>
      <c r="K20" s="47"/>
      <c r="L20" s="46"/>
      <c r="M20" s="40">
        <v>184.42326924042661</v>
      </c>
      <c r="N20" s="90">
        <f>M20/F20</f>
        <v>0.1739349893807664</v>
      </c>
      <c r="O20" s="81">
        <f>N20*E$18</f>
        <v>29878.838323167569</v>
      </c>
      <c r="P20" s="54">
        <f>O20/1000/(0.5)/(C$18)</f>
        <v>3.3198709247963962</v>
      </c>
      <c r="Q20" s="47"/>
      <c r="R20" s="46">
        <f>(N20/12.011)/(H20/14.0067)</f>
        <v>14.983746786498946</v>
      </c>
      <c r="S20" s="25"/>
      <c r="T20" s="40">
        <v>16.424389529140011</v>
      </c>
      <c r="U20" s="55">
        <f>T20/F20</f>
        <v>1.5490323049269086E-2</v>
      </c>
      <c r="V20" s="43">
        <f>U20*E$18</f>
        <v>2660.9531504299316</v>
      </c>
      <c r="W20" s="54">
        <f>V20/1000/(0.5)/(C$18)</f>
        <v>0.29566146115888131</v>
      </c>
      <c r="Y20" s="54">
        <f>(U20/1.00794)/(N20/12.011)</f>
        <v>1.0612507410334149</v>
      </c>
      <c r="Z20" s="54">
        <f>(N20/12.011)/(U20/1.00794)</f>
        <v>0.94228438326104669</v>
      </c>
      <c r="AB20" s="40">
        <v>1028.5352441156097</v>
      </c>
      <c r="AC20" s="40">
        <f>AB20/1000</f>
        <v>1.0285352441156097</v>
      </c>
      <c r="AD20" s="40">
        <f>AC20*D$18</f>
        <v>176.68347454424401</v>
      </c>
      <c r="AE20" s="40">
        <f>AD20/0.5/18</f>
        <v>19.631497171582666</v>
      </c>
      <c r="AG20" s="15">
        <v>179.3</v>
      </c>
      <c r="AH20" s="40">
        <v>10.972230835320588</v>
      </c>
      <c r="AI20" s="88">
        <f>AH20/AG20</f>
        <v>6.1194817821085261E-2</v>
      </c>
      <c r="AJ20" s="81">
        <f>AI20*E18</f>
        <v>10512.14637377663</v>
      </c>
      <c r="AK20" s="54">
        <f>AJ20/1000/(0.5)/(C$18)</f>
        <v>1.168016263752959</v>
      </c>
      <c r="AM20" s="53">
        <v>609.40000000000009</v>
      </c>
      <c r="AN20" s="40">
        <v>0.76554442124966204</v>
      </c>
      <c r="AO20" s="88">
        <f>AN20/AM20</f>
        <v>1.2562264871179224E-3</v>
      </c>
      <c r="AP20" s="81">
        <f>AO20*E18</f>
        <v>215.79665045834474</v>
      </c>
      <c r="AQ20" s="55">
        <f>AP20/1000/(0.5)/(C$18)</f>
        <v>2.3977405606482746E-2</v>
      </c>
    </row>
    <row r="21" spans="1:43" ht="14">
      <c r="A21" s="37"/>
      <c r="B21" s="45"/>
      <c r="C21" s="56"/>
      <c r="D21" s="58"/>
      <c r="F21" s="53">
        <v>875.5</v>
      </c>
      <c r="G21" s="40">
        <v>12.47530355878888</v>
      </c>
      <c r="H21" s="88">
        <f>G21/F21</f>
        <v>1.4249347297303119E-2</v>
      </c>
      <c r="I21" s="81">
        <f>H21*E18</f>
        <v>2447.776296319274</v>
      </c>
      <c r="J21" s="54">
        <f t="shared" ref="J21:J22" si="7">I21/1000/(0.5)/(C$18)</f>
        <v>0.2719751440354749</v>
      </c>
      <c r="K21" s="47"/>
      <c r="L21" s="46"/>
      <c r="M21" s="40">
        <v>155.03233134564621</v>
      </c>
      <c r="N21" s="90">
        <f>M21/F21</f>
        <v>0.17707861946961304</v>
      </c>
      <c r="O21" s="81">
        <f t="shared" ref="O21:O22" si="8">N21*E$18</f>
        <v>30418.856266117924</v>
      </c>
      <c r="P21" s="54">
        <f>O21/1000/(0.5)/(C$18)</f>
        <v>3.3798729184575471</v>
      </c>
      <c r="Q21" s="47"/>
      <c r="R21" s="46">
        <f>(N21/12.011)/(H21/14.0067)</f>
        <v>14.491982997165898</v>
      </c>
      <c r="S21" s="25"/>
      <c r="T21" s="40">
        <v>14.21372892451997</v>
      </c>
      <c r="U21" s="55">
        <f>T21/F21</f>
        <v>1.6234984494026238E-2</v>
      </c>
      <c r="V21" s="43">
        <f t="shared" ref="V21:V22" si="9">U21*E$18</f>
        <v>2788.8723171979705</v>
      </c>
      <c r="W21" s="54">
        <f t="shared" ref="W21:W22" si="10">V21/1000/(0.5)/(C$18)</f>
        <v>0.30987470191088562</v>
      </c>
      <c r="Y21" s="54">
        <f>(U21/1.00794)/(N21/12.011)</f>
        <v>1.0925221159473386</v>
      </c>
      <c r="Z21" s="54">
        <f t="shared" ref="Z21:Z22" si="11">(N21/12.011)/(U21/1.00794)</f>
        <v>0.91531327869998169</v>
      </c>
      <c r="AB21" s="40">
        <v>1060.1990988154494</v>
      </c>
      <c r="AC21" s="40">
        <f>AB21/1000</f>
        <v>1.0601990988154493</v>
      </c>
      <c r="AD21" s="40">
        <f>AC21*D$18</f>
        <v>182.12274354143057</v>
      </c>
      <c r="AE21" s="40">
        <f>AD21/0.5/18</f>
        <v>20.235860393492285</v>
      </c>
      <c r="AG21" s="15">
        <v>218.8</v>
      </c>
      <c r="AH21" s="40">
        <v>13.149734962615199</v>
      </c>
      <c r="AI21" s="88">
        <f>AH21/AG21</f>
        <v>6.0099337123469827E-2</v>
      </c>
      <c r="AJ21" s="81">
        <f>AI21*E18</f>
        <v>10323.962899211036</v>
      </c>
      <c r="AK21" s="54">
        <f>AJ21/1000/(0.5)/(C$18)</f>
        <v>1.1471069888012262</v>
      </c>
      <c r="AM21" s="53">
        <v>654.5</v>
      </c>
      <c r="AN21" s="40">
        <v>0.89901566928953391</v>
      </c>
      <c r="AO21" s="88">
        <f>AN21/AM21</f>
        <v>1.3735915497166294E-3</v>
      </c>
      <c r="AP21" s="81">
        <f>AO21*E18</f>
        <v>235.95781379103403</v>
      </c>
      <c r="AQ21" s="55">
        <f>AP21/1000/(0.5)/(C$18)</f>
        <v>2.6217534865670449E-2</v>
      </c>
    </row>
    <row r="22" spans="1:43" ht="14">
      <c r="A22" s="37"/>
      <c r="B22" s="45"/>
      <c r="C22" s="56"/>
      <c r="D22" s="58"/>
      <c r="F22" s="53">
        <v>745.9</v>
      </c>
      <c r="G22" s="40">
        <v>10.597300872519586</v>
      </c>
      <c r="H22" s="88">
        <f>G22/F22</f>
        <v>1.4207401625579283E-2</v>
      </c>
      <c r="I22" s="81">
        <f>H22*E18</f>
        <v>2440.5707998964149</v>
      </c>
      <c r="J22" s="54">
        <f t="shared" si="7"/>
        <v>0.2711745333218239</v>
      </c>
      <c r="K22" s="47"/>
      <c r="L22" s="46"/>
      <c r="M22" s="40">
        <v>132.45386249932486</v>
      </c>
      <c r="N22" s="90">
        <f>M22/F22</f>
        <v>0.17757589824282727</v>
      </c>
      <c r="O22" s="81">
        <f t="shared" si="8"/>
        <v>30504.279631015972</v>
      </c>
      <c r="P22" s="54">
        <f>O22/1000/(0.5)/(C$18)</f>
        <v>3.3893644034462191</v>
      </c>
      <c r="Q22" s="47"/>
      <c r="R22" s="46">
        <f>(N22/12.011)/(H22/14.0067)</f>
        <v>14.575585940866921</v>
      </c>
      <c r="S22" s="25"/>
      <c r="T22" s="40">
        <v>12.150445693541265</v>
      </c>
      <c r="U22" s="55">
        <f>T22/F22</f>
        <v>1.6289644313636231E-2</v>
      </c>
      <c r="V22" s="43">
        <f t="shared" si="9"/>
        <v>2798.2618708393329</v>
      </c>
      <c r="W22" s="54">
        <f t="shared" si="10"/>
        <v>0.31091798564881473</v>
      </c>
      <c r="Y22" s="54">
        <f>(U22/1.00794)/(N22/12.011)</f>
        <v>1.093130640744683</v>
      </c>
      <c r="Z22" s="54">
        <f t="shared" si="11"/>
        <v>0.91480374140712151</v>
      </c>
      <c r="AB22" s="40"/>
      <c r="AC22" s="40"/>
      <c r="AD22" s="40"/>
      <c r="AE22" s="40"/>
      <c r="AG22" s="15">
        <v>214.5</v>
      </c>
      <c r="AH22" s="40">
        <v>13.656114460057271</v>
      </c>
      <c r="AI22" s="88">
        <f>AH22/AG22</f>
        <v>6.3664869277656272E-2</v>
      </c>
      <c r="AJ22" s="81">
        <f>AI22*E18</f>
        <v>10936.455872305571</v>
      </c>
      <c r="AK22" s="54">
        <f>AJ22/1000/(0.5)/(C$18)</f>
        <v>1.2151617635895078</v>
      </c>
      <c r="AM22" s="53">
        <v>582.30000000000007</v>
      </c>
      <c r="AN22" s="40">
        <v>0.80619131732329685</v>
      </c>
      <c r="AO22" s="88">
        <f>AN22/AM22</f>
        <v>1.3844947918998742E-3</v>
      </c>
      <c r="AP22" s="81">
        <f>AO22*E18</f>
        <v>237.83079065182162</v>
      </c>
      <c r="AQ22" s="55">
        <f>AP22/1000/(0.5)/(C$18)</f>
        <v>2.6425643405757957E-2</v>
      </c>
    </row>
    <row r="23" spans="1:43" ht="14">
      <c r="A23" s="37"/>
      <c r="B23" s="45"/>
      <c r="C23" s="56"/>
      <c r="D23" s="58"/>
      <c r="G23" s="87"/>
      <c r="H23" s="88"/>
      <c r="I23" s="81"/>
      <c r="J23" s="57"/>
      <c r="K23" s="47"/>
      <c r="L23" s="46"/>
      <c r="M23" s="89"/>
      <c r="N23" s="90"/>
      <c r="O23" s="81"/>
      <c r="P23" s="57"/>
      <c r="Q23" s="47"/>
      <c r="R23" s="46"/>
      <c r="S23" s="25"/>
      <c r="T23" s="54"/>
      <c r="U23" s="55"/>
      <c r="V23" s="43"/>
      <c r="W23" s="57"/>
      <c r="AB23" s="40"/>
      <c r="AC23" s="40"/>
      <c r="AD23" s="40"/>
      <c r="AE23" s="40"/>
      <c r="AG23" s="38"/>
      <c r="AH23" s="87"/>
      <c r="AI23" s="88"/>
      <c r="AJ23" s="81"/>
      <c r="AK23" s="57"/>
      <c r="AM23" s="38"/>
      <c r="AN23" s="87"/>
      <c r="AO23" s="88"/>
      <c r="AP23" s="81"/>
      <c r="AQ23" s="76"/>
    </row>
    <row r="24" spans="1:43">
      <c r="A24" s="37"/>
      <c r="B24" s="37"/>
      <c r="C24" s="56"/>
      <c r="D24" s="47"/>
      <c r="G24" s="69"/>
      <c r="H24" s="70"/>
      <c r="I24" s="29"/>
      <c r="J24" s="57"/>
      <c r="K24" s="47"/>
      <c r="L24" s="46"/>
      <c r="M24" s="59"/>
      <c r="N24" s="49"/>
      <c r="O24" s="50"/>
      <c r="P24" s="57"/>
      <c r="Q24" s="47"/>
      <c r="R24" s="46"/>
      <c r="S24" s="25"/>
      <c r="T24" s="54"/>
      <c r="U24" s="55"/>
      <c r="V24" s="43"/>
      <c r="W24" s="57"/>
      <c r="AB24" s="40">
        <f>AVERAGE(AB20:AB22)</f>
        <v>1044.3671714655295</v>
      </c>
      <c r="AC24" s="40"/>
      <c r="AD24" s="40"/>
      <c r="AE24" s="40">
        <f>AVERAGE(AE20:AE22)</f>
        <v>19.933678782537477</v>
      </c>
      <c r="AG24" s="38"/>
      <c r="AH24" s="69"/>
      <c r="AI24" s="70"/>
      <c r="AJ24" s="29"/>
      <c r="AK24" s="57"/>
      <c r="AM24" s="38"/>
      <c r="AN24" s="69"/>
      <c r="AO24" s="70"/>
      <c r="AP24" s="29"/>
      <c r="AQ24" s="76"/>
    </row>
    <row r="25" spans="1:43">
      <c r="A25" s="37"/>
      <c r="B25" s="60" t="s">
        <v>33</v>
      </c>
      <c r="C25" s="61"/>
      <c r="D25" s="47"/>
      <c r="G25" s="48"/>
      <c r="H25" s="49"/>
      <c r="I25" s="50"/>
      <c r="J25" s="54">
        <f>AVERAGE(J20:J22)</f>
        <v>0.26717626951595835</v>
      </c>
      <c r="K25" s="43"/>
      <c r="L25" s="57"/>
      <c r="M25" s="59"/>
      <c r="N25" s="49"/>
      <c r="O25" s="50"/>
      <c r="P25" s="54">
        <f>AVERAGE(P20:P22)</f>
        <v>3.3630360822333873</v>
      </c>
      <c r="Q25" s="38"/>
      <c r="R25" s="54">
        <f>AVERAGE(R20:R22)</f>
        <v>14.683771908177256</v>
      </c>
      <c r="T25" s="54"/>
      <c r="U25" s="55"/>
      <c r="V25" s="43"/>
      <c r="W25" s="54">
        <f>AVERAGE(W20:W22)</f>
        <v>0.30548471623952717</v>
      </c>
      <c r="Y25" s="54">
        <f>AVERAGE(Y20:Y22)</f>
        <v>1.0823011659084789</v>
      </c>
      <c r="Z25" s="54">
        <f>AVERAGE(Z20:Z22)</f>
        <v>0.92413380112271659</v>
      </c>
      <c r="AB25" s="40">
        <f>ABS(AB21-AB20)</f>
        <v>31.663854699839703</v>
      </c>
      <c r="AC25" s="40"/>
      <c r="AD25" s="40"/>
      <c r="AE25" s="40">
        <f>ABS(AE21-AE20)</f>
        <v>0.60436322190961889</v>
      </c>
      <c r="AG25" s="38"/>
      <c r="AH25" s="48"/>
      <c r="AI25" s="49"/>
      <c r="AJ25" s="50"/>
      <c r="AK25" s="54">
        <f>AVERAGE(AK20:AK22)</f>
        <v>1.1767616720478977</v>
      </c>
      <c r="AM25" s="38"/>
      <c r="AN25" s="48"/>
      <c r="AO25" s="49"/>
      <c r="AP25" s="50"/>
      <c r="AQ25" s="55">
        <f>AVERAGE(AQ20:AQ22)</f>
        <v>2.5540194625970385E-2</v>
      </c>
    </row>
    <row r="26" spans="1:43">
      <c r="A26" s="37"/>
      <c r="B26" s="60" t="s">
        <v>34</v>
      </c>
      <c r="C26" s="61"/>
      <c r="D26" s="47"/>
      <c r="G26" s="48"/>
      <c r="H26" s="49"/>
      <c r="I26" s="50"/>
      <c r="J26" s="57">
        <f>STDEV(J20:J22)</f>
        <v>7.6290547524337539E-3</v>
      </c>
      <c r="K26" s="38"/>
      <c r="L26" s="57"/>
      <c r="M26" s="59"/>
      <c r="N26" s="49"/>
      <c r="O26" s="50"/>
      <c r="P26" s="57">
        <f>STDEV(P20:P22)</f>
        <v>3.7682160026234278E-2</v>
      </c>
      <c r="Q26" s="38"/>
      <c r="R26" s="57">
        <f>STDEV(R20:R22)</f>
        <v>0.26312745726539838</v>
      </c>
      <c r="T26" s="54"/>
      <c r="U26" s="55"/>
      <c r="V26" s="43"/>
      <c r="W26" s="57">
        <f>STDEV(W20:W22)</f>
        <v>8.523166402460626E-3</v>
      </c>
      <c r="Y26" s="57">
        <f>STDEV(Y20:Y22)</f>
        <v>1.8232741597817355E-2</v>
      </c>
      <c r="Z26" s="57">
        <f>STDEV(Z20:Z22)</f>
        <v>1.5720929712755651E-2</v>
      </c>
      <c r="AB26" s="40">
        <f>AB25/AB24</f>
        <v>3.0318699749444206E-2</v>
      </c>
      <c r="AC26" s="40"/>
      <c r="AD26" s="40"/>
      <c r="AE26" s="40">
        <f>AE25/AE24</f>
        <v>3.0318699749444136E-2</v>
      </c>
      <c r="AG26" s="38"/>
      <c r="AH26" s="48"/>
      <c r="AI26" s="49"/>
      <c r="AJ26" s="50"/>
      <c r="AK26" s="57">
        <f>STDEV(AK20:AK22)</f>
        <v>3.4860073401454833E-2</v>
      </c>
      <c r="AM26" s="38"/>
      <c r="AN26" s="48"/>
      <c r="AO26" s="49"/>
      <c r="AP26" s="50"/>
      <c r="AQ26" s="76">
        <f>STDEV(AQ20:AQ22)</f>
        <v>1.3574090874484701E-3</v>
      </c>
    </row>
    <row r="27" spans="1:43">
      <c r="A27" s="37"/>
      <c r="B27" s="60" t="s">
        <v>55</v>
      </c>
      <c r="C27" s="61"/>
      <c r="D27" s="47"/>
      <c r="G27" s="48"/>
      <c r="H27" s="49"/>
      <c r="I27" s="50"/>
      <c r="J27" s="62">
        <f>COUNT(J20:J22)</f>
        <v>3</v>
      </c>
      <c r="K27" s="62"/>
      <c r="L27" s="62"/>
      <c r="M27" s="59"/>
      <c r="N27" s="49"/>
      <c r="O27" s="63"/>
      <c r="P27" s="62">
        <f>COUNT(P20:P22)</f>
        <v>3</v>
      </c>
      <c r="Q27" s="62"/>
      <c r="R27" s="62">
        <f>COUNT(R20:R22)</f>
        <v>3</v>
      </c>
      <c r="T27" s="54"/>
      <c r="U27" s="55"/>
      <c r="V27" s="43"/>
      <c r="W27" s="62">
        <f>COUNT(W20:W22)</f>
        <v>3</v>
      </c>
      <c r="Y27" s="62">
        <f>COUNT(Y20:Y22)</f>
        <v>3</v>
      </c>
      <c r="Z27" s="62">
        <f>COUNT(Z20:Z22)</f>
        <v>3</v>
      </c>
      <c r="AB27" s="40"/>
      <c r="AC27" s="40"/>
      <c r="AD27" s="40"/>
      <c r="AE27" s="40"/>
      <c r="AG27" s="38"/>
      <c r="AH27" s="48"/>
      <c r="AI27" s="49"/>
      <c r="AJ27" s="50"/>
      <c r="AK27" s="62">
        <f>COUNT(AK20:AK22)</f>
        <v>3</v>
      </c>
      <c r="AM27" s="38"/>
      <c r="AN27" s="48"/>
      <c r="AO27" s="49"/>
      <c r="AP27" s="50"/>
      <c r="AQ27" s="62">
        <f>COUNT(AQ20:AQ22)</f>
        <v>3</v>
      </c>
    </row>
    <row r="28" spans="1:43">
      <c r="A28" s="37"/>
      <c r="B28" s="60" t="s">
        <v>56</v>
      </c>
      <c r="C28" s="61"/>
      <c r="D28" s="47"/>
      <c r="G28" s="48"/>
      <c r="H28" s="49"/>
      <c r="I28" s="50"/>
      <c r="J28" s="64">
        <f>J26/J25</f>
        <v>2.8554387581858475E-2</v>
      </c>
      <c r="K28" s="64"/>
      <c r="L28" s="64"/>
      <c r="M28" s="65"/>
      <c r="N28" s="66"/>
      <c r="O28" s="67"/>
      <c r="P28" s="64">
        <f>P26/P25</f>
        <v>1.1204803964282658E-2</v>
      </c>
      <c r="Q28" s="68"/>
      <c r="R28" s="64">
        <f>R26/R25</f>
        <v>1.7919609410363094E-2</v>
      </c>
      <c r="T28" s="54"/>
      <c r="U28" s="55"/>
      <c r="V28" s="43"/>
      <c r="W28" s="64">
        <f>W26/W25</f>
        <v>2.7900467517261014E-2</v>
      </c>
      <c r="Y28" s="64">
        <f>Y26/Y25</f>
        <v>1.684627363633381E-2</v>
      </c>
      <c r="Z28" s="64">
        <f>Z26/Z25</f>
        <v>1.7011529817063855E-2</v>
      </c>
      <c r="AB28" s="40"/>
      <c r="AC28" s="40"/>
      <c r="AD28" s="40"/>
      <c r="AE28" s="40"/>
      <c r="AG28" s="38"/>
      <c r="AH28" s="48"/>
      <c r="AI28" s="49"/>
      <c r="AJ28" s="50"/>
      <c r="AK28" s="64">
        <f>AK26/AK25</f>
        <v>2.9623732850500184E-2</v>
      </c>
      <c r="AM28" s="38"/>
      <c r="AN28" s="48"/>
      <c r="AO28" s="49"/>
      <c r="AP28" s="50"/>
      <c r="AQ28" s="64">
        <f>AQ26/AQ25</f>
        <v>5.3147953934078375E-2</v>
      </c>
    </row>
    <row r="29" spans="1:43">
      <c r="D29" s="71"/>
      <c r="AB29" s="40"/>
      <c r="AC29" s="40"/>
      <c r="AD29" s="40"/>
      <c r="AE29" s="40"/>
      <c r="AG29" s="38"/>
      <c r="AH29" s="72"/>
      <c r="AI29" s="52"/>
      <c r="AJ29" s="73"/>
      <c r="AM29" s="38"/>
      <c r="AN29" s="72"/>
      <c r="AO29" s="52"/>
      <c r="AP29" s="73"/>
    </row>
    <row r="30" spans="1:43" ht="17">
      <c r="A30" s="93" t="s">
        <v>83</v>
      </c>
      <c r="B30" s="45" t="s">
        <v>84</v>
      </c>
      <c r="C30" s="56">
        <v>18</v>
      </c>
      <c r="D30" s="92">
        <v>30.790053561003248</v>
      </c>
      <c r="E30" s="38">
        <f>D30*1000</f>
        <v>30790.053561003249</v>
      </c>
      <c r="G30" s="87"/>
      <c r="H30" s="88"/>
      <c r="I30" s="81"/>
      <c r="J30" s="57"/>
      <c r="K30" s="47"/>
      <c r="L30" s="46"/>
      <c r="M30" s="89"/>
      <c r="N30" s="90"/>
      <c r="O30" s="81"/>
      <c r="P30" s="38"/>
      <c r="Q30" s="47"/>
      <c r="R30" s="46"/>
      <c r="S30" s="25"/>
      <c r="T30" s="54"/>
      <c r="U30" s="55"/>
      <c r="V30" s="43"/>
      <c r="W30" s="44"/>
      <c r="AB30" s="40"/>
      <c r="AC30" s="40"/>
      <c r="AD30" s="40"/>
      <c r="AE30" s="40"/>
      <c r="AG30" s="38"/>
      <c r="AH30" s="87"/>
      <c r="AI30" s="88"/>
      <c r="AJ30" s="81"/>
      <c r="AK30" s="57"/>
      <c r="AM30" s="38"/>
      <c r="AN30" s="87"/>
      <c r="AO30" s="88"/>
      <c r="AP30" s="81"/>
      <c r="AQ30" s="57"/>
    </row>
    <row r="31" spans="1:43" ht="14">
      <c r="A31" s="37"/>
      <c r="B31" s="45"/>
      <c r="C31" s="56"/>
      <c r="D31" s="58"/>
      <c r="G31" s="87"/>
      <c r="H31" s="88"/>
      <c r="I31" s="81"/>
      <c r="J31" s="57"/>
      <c r="K31" s="47"/>
      <c r="L31" s="46"/>
      <c r="M31" s="89"/>
      <c r="N31" s="90"/>
      <c r="O31" s="81"/>
      <c r="P31" s="38"/>
      <c r="Q31" s="47"/>
      <c r="R31" s="46"/>
      <c r="S31" s="25"/>
      <c r="T31" s="54"/>
      <c r="U31" s="55"/>
      <c r="V31" s="43"/>
      <c r="W31" s="44"/>
      <c r="AB31" s="40"/>
      <c r="AC31" s="40"/>
      <c r="AD31" s="40"/>
      <c r="AE31" s="40"/>
      <c r="AG31" s="38"/>
      <c r="AH31" s="87"/>
      <c r="AI31" s="88"/>
      <c r="AJ31" s="81"/>
      <c r="AK31" s="57"/>
      <c r="AM31" s="38"/>
      <c r="AN31" s="87"/>
      <c r="AO31" s="88"/>
      <c r="AP31" s="81"/>
      <c r="AQ31" s="57"/>
    </row>
    <row r="32" spans="1:43" ht="14">
      <c r="A32" s="37"/>
      <c r="B32" s="45"/>
      <c r="C32" s="56"/>
      <c r="D32" s="58"/>
      <c r="F32" s="53">
        <v>699.9</v>
      </c>
      <c r="G32" s="40">
        <v>28.304183343058643</v>
      </c>
      <c r="H32" s="88">
        <f>G32/F32</f>
        <v>4.0440324822201237E-2</v>
      </c>
      <c r="I32" s="81">
        <f>H32*E30</f>
        <v>1245.1597672999453</v>
      </c>
      <c r="J32" s="54">
        <f>I32/1000/(0.5)/(C$30)</f>
        <v>0.13835108525554948</v>
      </c>
      <c r="K32" s="47"/>
      <c r="L32" s="46"/>
      <c r="M32" s="40">
        <v>172.7447508716397</v>
      </c>
      <c r="N32" s="90">
        <f>M32/F32</f>
        <v>0.24681347459871367</v>
      </c>
      <c r="O32" s="81">
        <f>N32*E$30</f>
        <v>7599.400102471709</v>
      </c>
      <c r="P32" s="54">
        <f>O32/1000/(0.5)/(C$30)</f>
        <v>0.84437778916352313</v>
      </c>
      <c r="Q32" s="47"/>
      <c r="R32" s="46">
        <f>(N32/12.011)/(H32/14.0067)</f>
        <v>7.1172281969908644</v>
      </c>
      <c r="S32" s="25"/>
      <c r="T32" s="40">
        <v>19.568440166821848</v>
      </c>
      <c r="U32" s="55">
        <f>T32/F32</f>
        <v>2.7958908653838904E-2</v>
      </c>
      <c r="V32" s="43">
        <f>U32*E$30</f>
        <v>860.85629495889714</v>
      </c>
      <c r="W32" s="54">
        <f>V32/1000/(0.5)/(C$30)</f>
        <v>9.565069943987746E-2</v>
      </c>
      <c r="Y32" s="54">
        <f>(U32/1.00794)/(N32/12.011)</f>
        <v>1.3498820913814578</v>
      </c>
      <c r="Z32" s="54">
        <f>(N32/12.011)/(U32/1.00794)</f>
        <v>0.7408054424787639</v>
      </c>
      <c r="AB32" s="40">
        <v>1986.7738141216028</v>
      </c>
      <c r="AC32" s="40">
        <f>AB32/1000</f>
        <v>1.9867738141216027</v>
      </c>
      <c r="AD32" s="40">
        <f>AC32*D$30</f>
        <v>61.17287215040286</v>
      </c>
      <c r="AE32" s="40">
        <f>AD32/0.5/18</f>
        <v>6.7969857944892063</v>
      </c>
      <c r="AG32" s="15">
        <v>77.3</v>
      </c>
      <c r="AH32" s="40">
        <v>4.3020092539182393</v>
      </c>
      <c r="AI32" s="88">
        <f>AH32/AG32</f>
        <v>5.5653418550041911E-2</v>
      </c>
      <c r="AJ32" s="81">
        <f>AI32*E30</f>
        <v>1713.5717380087221</v>
      </c>
      <c r="AK32" s="54">
        <f>AJ32/1000/(0.5)/(C$30)</f>
        <v>0.1903968597787469</v>
      </c>
      <c r="AM32" s="15">
        <v>210.29999999999998</v>
      </c>
      <c r="AN32" s="40">
        <v>2.0433225233233041</v>
      </c>
      <c r="AO32" s="88">
        <f>AN32/AM32</f>
        <v>9.7162269297351601E-3</v>
      </c>
      <c r="AP32" s="81">
        <f>AO32*E30</f>
        <v>299.16314757740776</v>
      </c>
      <c r="AQ32" s="55">
        <f>AP32/1000/(0.5)/(C$30)</f>
        <v>3.3240349730823085E-2</v>
      </c>
    </row>
    <row r="33" spans="1:43" ht="14">
      <c r="A33" s="37"/>
      <c r="B33" s="45"/>
      <c r="C33" s="56"/>
      <c r="D33" s="58"/>
      <c r="F33" s="53">
        <v>1264</v>
      </c>
      <c r="G33" s="40">
        <v>48.55978374496317</v>
      </c>
      <c r="H33" s="88">
        <f>G33/F33</f>
        <v>3.8417550431141749E-2</v>
      </c>
      <c r="I33" s="81">
        <f>H33*E30</f>
        <v>1182.8784354573979</v>
      </c>
      <c r="J33" s="54">
        <f t="shared" ref="J33:J34" si="12">I33/1000/(0.5)/(C$30)</f>
        <v>0.13143093727304422</v>
      </c>
      <c r="K33" s="47"/>
      <c r="L33" s="46"/>
      <c r="M33" s="40">
        <v>298.33748382930224</v>
      </c>
      <c r="N33" s="90">
        <f>M33/F33</f>
        <v>0.23602649037128343</v>
      </c>
      <c r="O33" s="81">
        <f t="shared" ref="O33:O34" si="13">N33*E$30</f>
        <v>7267.2682803474345</v>
      </c>
      <c r="P33" s="54">
        <f t="shared" ref="P33:P34" si="14">O33/1000/(0.5)/(C$30)</f>
        <v>0.80747425337193723</v>
      </c>
      <c r="Q33" s="47"/>
      <c r="R33" s="46">
        <f>(N33/12.011)/(H33/14.0067)</f>
        <v>7.1645305439136724</v>
      </c>
      <c r="S33" s="25"/>
      <c r="T33" s="40">
        <v>35.255942827755177</v>
      </c>
      <c r="U33" s="55">
        <f>T33/F33</f>
        <v>2.7892359832084792E-2</v>
      </c>
      <c r="V33" s="43">
        <f t="shared" ref="V33:V34" si="15">U33*E$30</f>
        <v>858.80725317266638</v>
      </c>
      <c r="W33" s="54">
        <f t="shared" ref="W33:W34" si="16">V33/1000/(0.5)/(C$30)</f>
        <v>9.5423028130296267E-2</v>
      </c>
      <c r="Y33" s="54">
        <f>(U33/1.00794)/(N33/12.011)</f>
        <v>1.4082151009435124</v>
      </c>
      <c r="Z33" s="54">
        <f t="shared" ref="Z33:Z34" si="17">(N33/12.011)/(U33/1.00794)</f>
        <v>0.7101187874849475</v>
      </c>
      <c r="AB33" s="40">
        <v>1925.21</v>
      </c>
      <c r="AC33" s="40">
        <f t="shared" ref="AC33:AC34" si="18">AB33/1000</f>
        <v>1.9252100000000001</v>
      </c>
      <c r="AD33" s="40">
        <f t="shared" ref="AD33:AD34" si="19">AC33*D$30</f>
        <v>59.277319016179064</v>
      </c>
      <c r="AE33" s="40">
        <f t="shared" ref="AE33:AE34" si="20">AD33/0.5/18</f>
        <v>6.5863687795754515</v>
      </c>
      <c r="AG33" s="15">
        <v>146</v>
      </c>
      <c r="AH33" s="40">
        <v>8.1840713469065047</v>
      </c>
      <c r="AI33" s="88">
        <f>AH33/AG33</f>
        <v>5.6055283197989761E-2</v>
      </c>
      <c r="AJ33" s="81">
        <f>AI33*E30</f>
        <v>1725.9451720433103</v>
      </c>
      <c r="AK33" s="54">
        <f>AJ33/1000/(0.5)/(C$30)</f>
        <v>0.19177168578259005</v>
      </c>
      <c r="AM33" s="15">
        <v>402.5</v>
      </c>
      <c r="AN33" s="40">
        <v>3.928888528301794</v>
      </c>
      <c r="AO33" s="88">
        <f>AN33/AM33</f>
        <v>9.7612137349112893E-3</v>
      </c>
      <c r="AP33" s="81">
        <f>AO33*E30</f>
        <v>300.54829371831914</v>
      </c>
      <c r="AQ33" s="55">
        <f>AP33/1000/(0.5)/(C$30)</f>
        <v>3.3394254857591017E-2</v>
      </c>
    </row>
    <row r="34" spans="1:43" ht="14">
      <c r="A34" s="37"/>
      <c r="B34" s="45"/>
      <c r="C34" s="56"/>
      <c r="D34" s="58"/>
      <c r="F34" s="53">
        <v>947.1</v>
      </c>
      <c r="G34" s="40">
        <v>33.133333107751113</v>
      </c>
      <c r="H34" s="88">
        <f>G34/F34</f>
        <v>3.498398596531635E-2</v>
      </c>
      <c r="I34" s="81">
        <f>H34*E30</f>
        <v>1077.1588016494763</v>
      </c>
      <c r="J34" s="54">
        <f t="shared" si="12"/>
        <v>0.11968431129438627</v>
      </c>
      <c r="K34" s="47"/>
      <c r="L34" s="46"/>
      <c r="M34" s="40">
        <v>218.87489842834799</v>
      </c>
      <c r="N34" s="90">
        <f>M34/F34</f>
        <v>0.2311000933674881</v>
      </c>
      <c r="O34" s="81">
        <f t="shared" si="13"/>
        <v>7115.5842527378109</v>
      </c>
      <c r="P34" s="54">
        <f t="shared" si="14"/>
        <v>0.79062047252642342</v>
      </c>
      <c r="Q34" s="47"/>
      <c r="R34" s="46">
        <f>(N34/12.011)/(H34/14.0067)</f>
        <v>7.7034894254931805</v>
      </c>
      <c r="S34" s="25"/>
      <c r="T34" s="40">
        <v>25.234281420144324</v>
      </c>
      <c r="U34" s="55">
        <f>T34/F34</f>
        <v>2.6643735001736165E-2</v>
      </c>
      <c r="V34" s="43">
        <f t="shared" si="15"/>
        <v>820.36202776863354</v>
      </c>
      <c r="W34" s="54">
        <f t="shared" si="16"/>
        <v>9.1151336418737058E-2</v>
      </c>
      <c r="Y34" s="54">
        <f>(U34/1.00794)/(N34/12.011)</f>
        <v>1.3738504839913663</v>
      </c>
      <c r="Z34" s="54">
        <f t="shared" si="17"/>
        <v>0.72788124446756342</v>
      </c>
      <c r="AB34" s="33">
        <v>1999.54</v>
      </c>
      <c r="AC34" s="40">
        <f t="shared" si="18"/>
        <v>1.9995399999999999</v>
      </c>
      <c r="AD34" s="40">
        <f t="shared" si="19"/>
        <v>61.565943697368432</v>
      </c>
      <c r="AE34" s="40">
        <f t="shared" si="20"/>
        <v>6.8406604108187148</v>
      </c>
      <c r="AG34" s="53"/>
      <c r="AH34" s="40"/>
      <c r="AI34" s="88"/>
      <c r="AJ34" s="81"/>
      <c r="AK34" s="54"/>
      <c r="AM34" s="15">
        <v>202.1</v>
      </c>
      <c r="AN34" s="40">
        <v>1.7864047648760353</v>
      </c>
      <c r="AO34" s="88">
        <f>AN34/AM34</f>
        <v>8.8392120973579177E-3</v>
      </c>
      <c r="AP34" s="81">
        <f>AO34*E30</f>
        <v>272.15981391471814</v>
      </c>
      <c r="AQ34" s="55">
        <f>AP34/1000/(0.5)/(C$30)</f>
        <v>3.0239979323857573E-2</v>
      </c>
    </row>
    <row r="35" spans="1:43" ht="14">
      <c r="A35" s="37"/>
      <c r="B35" s="45"/>
      <c r="C35" s="56"/>
      <c r="D35" s="58"/>
      <c r="G35" s="87"/>
      <c r="H35" s="88"/>
      <c r="I35" s="81"/>
      <c r="J35" s="57"/>
      <c r="K35" s="47"/>
      <c r="L35" s="46"/>
      <c r="M35" s="89"/>
      <c r="N35" s="90"/>
      <c r="O35" s="81"/>
      <c r="P35" s="57"/>
      <c r="Q35" s="47"/>
      <c r="R35" s="46"/>
      <c r="S35" s="25"/>
      <c r="T35" s="54"/>
      <c r="U35" s="55"/>
      <c r="V35" s="43"/>
      <c r="W35" s="57"/>
      <c r="AG35" s="38"/>
      <c r="AH35" s="87"/>
      <c r="AI35" s="88"/>
      <c r="AJ35" s="81"/>
      <c r="AK35" s="57"/>
      <c r="AM35" s="38"/>
      <c r="AN35" s="87"/>
      <c r="AO35" s="88"/>
      <c r="AP35" s="81"/>
      <c r="AQ35" s="76"/>
    </row>
    <row r="36" spans="1:43">
      <c r="A36" s="37"/>
      <c r="B36" s="37"/>
      <c r="C36" s="56"/>
      <c r="D36" s="47"/>
      <c r="G36" s="69"/>
      <c r="H36" s="70"/>
      <c r="I36" s="29"/>
      <c r="J36" s="57"/>
      <c r="K36" s="47"/>
      <c r="L36" s="46"/>
      <c r="M36" s="59"/>
      <c r="N36" s="49"/>
      <c r="O36" s="50"/>
      <c r="P36" s="57"/>
      <c r="Q36" s="47"/>
      <c r="R36" s="46"/>
      <c r="S36" s="25"/>
      <c r="T36" s="54"/>
      <c r="U36" s="55"/>
      <c r="V36" s="43"/>
      <c r="W36" s="57"/>
      <c r="AB36" s="40">
        <f>AVERAGE(AB32:AB34)</f>
        <v>1970.5079380405343</v>
      </c>
      <c r="AE36" s="40">
        <f>AVERAGE(AE32:AE34)</f>
        <v>6.7413383282944572</v>
      </c>
      <c r="AG36" s="38"/>
      <c r="AH36" s="69"/>
      <c r="AI36" s="70"/>
      <c r="AJ36" s="29"/>
      <c r="AK36" s="57"/>
      <c r="AM36" s="38"/>
      <c r="AN36" s="69"/>
      <c r="AO36" s="70"/>
      <c r="AP36" s="29"/>
      <c r="AQ36" s="76"/>
    </row>
    <row r="37" spans="1:43">
      <c r="A37" s="37"/>
      <c r="B37" s="60" t="s">
        <v>33</v>
      </c>
      <c r="C37" s="61"/>
      <c r="D37" s="47"/>
      <c r="G37" s="48"/>
      <c r="H37" s="49"/>
      <c r="I37" s="50"/>
      <c r="J37" s="54">
        <f>AVERAGE(J32:J34)</f>
        <v>0.12982211127432666</v>
      </c>
      <c r="K37" s="43"/>
      <c r="L37" s="57"/>
      <c r="M37" s="59"/>
      <c r="N37" s="49"/>
      <c r="O37" s="50"/>
      <c r="P37" s="54">
        <f>AVERAGE(P32:P34)</f>
        <v>0.81415750502062789</v>
      </c>
      <c r="Q37" s="38"/>
      <c r="R37" s="54">
        <f>AVERAGE(R32:R34)</f>
        <v>7.3284160554659055</v>
      </c>
      <c r="T37" s="54"/>
      <c r="U37" s="55"/>
      <c r="V37" s="43"/>
      <c r="W37" s="54">
        <f>AVERAGE(W32:W34)</f>
        <v>9.4075021329636924E-2</v>
      </c>
      <c r="Y37" s="54">
        <f>AVERAGE(Y32:Y34)</f>
        <v>1.3773158921054456</v>
      </c>
      <c r="Z37" s="54">
        <f>AVERAGE(Z32:Z34)</f>
        <v>0.7262684914770916</v>
      </c>
      <c r="AB37" s="40">
        <f>STDEV(AB32:AB34)</f>
        <v>39.745078544563285</v>
      </c>
      <c r="AE37" s="40">
        <f>STDEV(AE32:AE34)</f>
        <v>0.13597256635259822</v>
      </c>
      <c r="AG37" s="38"/>
      <c r="AH37" s="48"/>
      <c r="AI37" s="49"/>
      <c r="AJ37" s="50"/>
      <c r="AK37" s="54">
        <f>AVERAGE(AK32:AK34)</f>
        <v>0.19108427278066847</v>
      </c>
      <c r="AM37" s="38"/>
      <c r="AN37" s="48"/>
      <c r="AO37" s="49"/>
      <c r="AP37" s="50"/>
      <c r="AQ37" s="55">
        <f>AVERAGE(AQ32:AQ34)</f>
        <v>3.2291527970757232E-2</v>
      </c>
    </row>
    <row r="38" spans="1:43">
      <c r="A38" s="37"/>
      <c r="B38" s="60" t="s">
        <v>34</v>
      </c>
      <c r="C38" s="61"/>
      <c r="D38" s="47"/>
      <c r="G38" s="48"/>
      <c r="H38" s="49"/>
      <c r="I38" s="50"/>
      <c r="J38" s="57">
        <f>STDEV(J32:J34)</f>
        <v>9.4368084302852324E-3</v>
      </c>
      <c r="K38" s="38"/>
      <c r="L38" s="57"/>
      <c r="M38" s="59"/>
      <c r="N38" s="49"/>
      <c r="O38" s="50"/>
      <c r="P38" s="57">
        <f>STDEV(P32:P34)</f>
        <v>2.7494756999383436E-2</v>
      </c>
      <c r="Q38" s="38"/>
      <c r="R38" s="57">
        <f>STDEV(R32:R34)</f>
        <v>0.32568297880579222</v>
      </c>
      <c r="T38" s="54"/>
      <c r="U38" s="55"/>
      <c r="V38" s="43"/>
      <c r="W38" s="57">
        <f>STDEV(W32:W34)</f>
        <v>2.5345430850489182E-3</v>
      </c>
      <c r="Y38" s="57">
        <f>STDEV(Y32:Y34)</f>
        <v>2.9320501209725847E-2</v>
      </c>
      <c r="Z38" s="57">
        <f>STDEV(Z32:Z34)</f>
        <v>1.540676565128405E-2</v>
      </c>
      <c r="AB38" s="40">
        <f>AB37/AB36</f>
        <v>2.0169966219007289E-2</v>
      </c>
      <c r="AE38" s="40">
        <f>AE37/AE36</f>
        <v>2.0169966219007282E-2</v>
      </c>
      <c r="AG38" s="38"/>
      <c r="AH38" s="48"/>
      <c r="AI38" s="49"/>
      <c r="AJ38" s="50"/>
      <c r="AK38" s="57">
        <f>ABS(AK33-AK32)</f>
        <v>1.3748260038431437E-3</v>
      </c>
      <c r="AM38" s="38"/>
      <c r="AN38" s="48"/>
      <c r="AO38" s="49"/>
      <c r="AP38" s="50"/>
      <c r="AQ38" s="76">
        <f>STDEV(AQ32:AQ34)</f>
        <v>1.7783589584103117E-3</v>
      </c>
    </row>
    <row r="39" spans="1:43">
      <c r="A39" s="37"/>
      <c r="B39" s="60" t="s">
        <v>55</v>
      </c>
      <c r="C39" s="61"/>
      <c r="D39" s="47"/>
      <c r="G39" s="48"/>
      <c r="H39" s="49"/>
      <c r="I39" s="50"/>
      <c r="J39" s="62">
        <f>COUNT(J32:J34)</f>
        <v>3</v>
      </c>
      <c r="K39" s="62"/>
      <c r="L39" s="62"/>
      <c r="M39" s="59"/>
      <c r="N39" s="49"/>
      <c r="O39" s="63"/>
      <c r="P39" s="62">
        <f>COUNT(P32:P34)</f>
        <v>3</v>
      </c>
      <c r="Q39" s="62"/>
      <c r="R39" s="62">
        <f>COUNT(R32:R34)</f>
        <v>3</v>
      </c>
      <c r="T39" s="54"/>
      <c r="U39" s="55"/>
      <c r="V39" s="43"/>
      <c r="W39" s="62">
        <f>COUNT(W32:W34)</f>
        <v>3</v>
      </c>
      <c r="Y39" s="62">
        <f>COUNT(Y32:Y34)</f>
        <v>3</v>
      </c>
      <c r="Z39" s="62">
        <f>COUNT(Z32:Z34)</f>
        <v>3</v>
      </c>
      <c r="AG39" s="38"/>
      <c r="AH39" s="48"/>
      <c r="AI39" s="49"/>
      <c r="AJ39" s="50"/>
      <c r="AK39" s="62">
        <f>COUNT(AK32:AK34)</f>
        <v>2</v>
      </c>
      <c r="AM39" s="38"/>
      <c r="AN39" s="48"/>
      <c r="AO39" s="49"/>
      <c r="AP39" s="50"/>
      <c r="AQ39" s="62">
        <f>COUNT(AQ32:AQ34)</f>
        <v>3</v>
      </c>
    </row>
    <row r="40" spans="1:43">
      <c r="A40" s="37"/>
      <c r="B40" s="60" t="s">
        <v>56</v>
      </c>
      <c r="C40" s="61"/>
      <c r="D40" s="47"/>
      <c r="G40" s="48"/>
      <c r="H40" s="49"/>
      <c r="I40" s="50"/>
      <c r="J40" s="64">
        <f>J38/J37</f>
        <v>7.2690301657044723E-2</v>
      </c>
      <c r="K40" s="64"/>
      <c r="L40" s="64"/>
      <c r="M40" s="65"/>
      <c r="N40" s="66"/>
      <c r="O40" s="67"/>
      <c r="P40" s="64">
        <f>P38/P37</f>
        <v>3.3770808264780183E-2</v>
      </c>
      <c r="Q40" s="68"/>
      <c r="R40" s="64">
        <f>R38/R37</f>
        <v>4.4441114743053005E-2</v>
      </c>
      <c r="T40" s="54"/>
      <c r="U40" s="55"/>
      <c r="V40" s="43"/>
      <c r="W40" s="64">
        <f>W38/W37</f>
        <v>2.6941722140757553E-2</v>
      </c>
      <c r="Y40" s="64">
        <f>Y38/Y37</f>
        <v>2.128814557196811E-2</v>
      </c>
      <c r="Z40" s="64">
        <f>Z38/Z37</f>
        <v>2.1213595016286096E-2</v>
      </c>
      <c r="AG40" s="38"/>
      <c r="AH40" s="48"/>
      <c r="AI40" s="49"/>
      <c r="AJ40" s="50"/>
      <c r="AK40" s="64">
        <f>AK38/AK37</f>
        <v>7.1948673945615863E-3</v>
      </c>
      <c r="AM40" s="38"/>
      <c r="AN40" s="48"/>
      <c r="AO40" s="49"/>
      <c r="AP40" s="50"/>
      <c r="AQ40" s="64">
        <f>AQ38/AQ37</f>
        <v>5.5071997832396455E-2</v>
      </c>
    </row>
  </sheetData>
  <pageMargins left="0.75" right="0.75" top="1" bottom="1" header="0.5" footer="0.5"/>
  <pageSetup orientation="portrait" horizontalDpi="4294967292" verticalDpi="4294967292"/>
  <colBreaks count="1" manualBreakCount="1">
    <brk id="19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04.28.17</vt:lpstr>
      <vt:lpstr>Summary</vt:lpstr>
      <vt:lpstr>PIC composition</vt:lpstr>
      <vt:lpstr>AL19 FLUX</vt:lpstr>
      <vt:lpstr>AL1 FLUX</vt:lpstr>
    </vt:vector>
  </TitlesOfParts>
  <Company>University of Hawaii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Sadler</dc:creator>
  <cp:lastModifiedBy>Eric  Grabowski</cp:lastModifiedBy>
  <cp:lastPrinted>2009-10-30T00:48:28Z</cp:lastPrinted>
  <dcterms:created xsi:type="dcterms:W3CDTF">2009-10-27T22:54:52Z</dcterms:created>
  <dcterms:modified xsi:type="dcterms:W3CDTF">2019-03-20T18:35:06Z</dcterms:modified>
</cp:coreProperties>
</file>