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320" yWindow="0" windowWidth="20500" windowHeight="15040" tabRatio="500"/>
  </bookViews>
  <sheets>
    <sheet name="Calabration Bomb2" sheetId="5" r:id="rId1"/>
    <sheet name="Benzoic &amp; PLK check standard" sheetId="3" r:id="rId2"/>
    <sheet name="sedtrap with correction" sheetId="11" r:id="rId3"/>
    <sheet name="sedtrap with no N correction" sheetId="1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6" i="3" l="1"/>
  <c r="Y26" i="3"/>
  <c r="Z26" i="3"/>
  <c r="H26" i="3"/>
  <c r="F26" i="3"/>
  <c r="K26" i="3"/>
  <c r="Q26" i="3"/>
  <c r="R26" i="3"/>
  <c r="W25" i="3"/>
  <c r="Y25" i="3"/>
  <c r="Z25" i="3"/>
  <c r="H25" i="3"/>
  <c r="F25" i="3"/>
  <c r="K25" i="3"/>
  <c r="Q25" i="3"/>
  <c r="R25" i="3"/>
  <c r="J17" i="13"/>
  <c r="P22" i="13"/>
  <c r="R22" i="13"/>
  <c r="S22" i="13"/>
  <c r="H22" i="13"/>
  <c r="F22" i="13"/>
  <c r="K17" i="13"/>
  <c r="K22" i="13"/>
  <c r="L22" i="13"/>
  <c r="M22" i="13"/>
  <c r="P23" i="13"/>
  <c r="R23" i="13"/>
  <c r="S23" i="13"/>
  <c r="H23" i="13"/>
  <c r="F23" i="13"/>
  <c r="K23" i="13"/>
  <c r="L23" i="13"/>
  <c r="M23" i="13"/>
  <c r="P24" i="13"/>
  <c r="R24" i="13"/>
  <c r="S24" i="13"/>
  <c r="H24" i="13"/>
  <c r="F24" i="13"/>
  <c r="K24" i="13"/>
  <c r="L24" i="13"/>
  <c r="M24" i="13"/>
  <c r="M31" i="13"/>
  <c r="M30" i="13"/>
  <c r="M32" i="13"/>
  <c r="L31" i="13"/>
  <c r="L30" i="13"/>
  <c r="L32" i="13"/>
  <c r="K31" i="13"/>
  <c r="K30" i="13"/>
  <c r="K32" i="13"/>
  <c r="P19" i="13"/>
  <c r="R19" i="13"/>
  <c r="S19" i="13"/>
  <c r="H19" i="13"/>
  <c r="F19" i="13"/>
  <c r="K19" i="13"/>
  <c r="L19" i="13"/>
  <c r="M19" i="13"/>
  <c r="P20" i="13"/>
  <c r="R20" i="13"/>
  <c r="S20" i="13"/>
  <c r="H20" i="13"/>
  <c r="F20" i="13"/>
  <c r="K20" i="13"/>
  <c r="L20" i="13"/>
  <c r="M20" i="13"/>
  <c r="P21" i="13"/>
  <c r="R21" i="13"/>
  <c r="S21" i="13"/>
  <c r="H21" i="13"/>
  <c r="F21" i="13"/>
  <c r="K21" i="13"/>
  <c r="L21" i="13"/>
  <c r="M21" i="13"/>
  <c r="M27" i="13"/>
  <c r="M26" i="13"/>
  <c r="M28" i="13"/>
  <c r="L27" i="13"/>
  <c r="L26" i="13"/>
  <c r="L28" i="13"/>
  <c r="K27" i="13"/>
  <c r="K26" i="13"/>
  <c r="K28" i="13"/>
  <c r="B3" i="13"/>
  <c r="M31" i="11"/>
  <c r="M30" i="11"/>
  <c r="M32" i="11"/>
  <c r="L31" i="11"/>
  <c r="L30" i="11"/>
  <c r="L32" i="11"/>
  <c r="K31" i="11"/>
  <c r="F24" i="11"/>
  <c r="P24" i="11"/>
  <c r="R24" i="11"/>
  <c r="S24" i="11"/>
  <c r="H24" i="11"/>
  <c r="K24" i="11"/>
  <c r="L24" i="11"/>
  <c r="M24" i="11"/>
  <c r="W23" i="3"/>
  <c r="Y23" i="3"/>
  <c r="Z23" i="3"/>
  <c r="H23" i="3"/>
  <c r="F23" i="3"/>
  <c r="K23" i="3"/>
  <c r="Q23" i="3"/>
  <c r="R23" i="3"/>
  <c r="T23" i="3"/>
  <c r="S23" i="3"/>
  <c r="W20" i="3"/>
  <c r="Y20" i="3"/>
  <c r="Z20" i="3"/>
  <c r="H20" i="3"/>
  <c r="K20" i="3"/>
  <c r="P23" i="3"/>
  <c r="N23" i="3"/>
  <c r="O23" i="3"/>
  <c r="L23" i="3"/>
  <c r="M23" i="3"/>
  <c r="W22" i="3"/>
  <c r="Y22" i="3"/>
  <c r="Z22" i="3"/>
  <c r="H22" i="3"/>
  <c r="F22" i="3"/>
  <c r="K22" i="3"/>
  <c r="Q22" i="3"/>
  <c r="R22" i="3"/>
  <c r="T22" i="3"/>
  <c r="S22" i="3"/>
  <c r="P22" i="3"/>
  <c r="N22" i="3"/>
  <c r="O22" i="3"/>
  <c r="L22" i="3"/>
  <c r="M22" i="3"/>
  <c r="E5" i="5"/>
  <c r="N5" i="5"/>
  <c r="P5" i="5"/>
  <c r="Q5" i="5"/>
  <c r="F5" i="5"/>
  <c r="H5" i="5"/>
  <c r="H10" i="5"/>
  <c r="I5" i="5"/>
  <c r="J17" i="11"/>
  <c r="K17" i="11"/>
  <c r="F23" i="11"/>
  <c r="P23" i="11"/>
  <c r="R23" i="11"/>
  <c r="S23" i="11"/>
  <c r="H23" i="11"/>
  <c r="K23" i="11"/>
  <c r="L23" i="11"/>
  <c r="M23" i="11"/>
  <c r="F22" i="11"/>
  <c r="P22" i="11"/>
  <c r="R22" i="11"/>
  <c r="S22" i="11"/>
  <c r="H22" i="11"/>
  <c r="K22" i="11"/>
  <c r="L22" i="11"/>
  <c r="M22" i="11"/>
  <c r="K30" i="11"/>
  <c r="J17" i="3"/>
  <c r="K32" i="11"/>
  <c r="P19" i="11"/>
  <c r="R19" i="11"/>
  <c r="S19" i="11"/>
  <c r="H19" i="11"/>
  <c r="F19" i="11"/>
  <c r="K19" i="11"/>
  <c r="L19" i="11"/>
  <c r="M19" i="11"/>
  <c r="P20" i="11"/>
  <c r="R20" i="11"/>
  <c r="S20" i="11"/>
  <c r="H20" i="11"/>
  <c r="F20" i="11"/>
  <c r="K20" i="11"/>
  <c r="L20" i="11"/>
  <c r="M20" i="11"/>
  <c r="P21" i="11"/>
  <c r="R21" i="11"/>
  <c r="S21" i="11"/>
  <c r="H21" i="11"/>
  <c r="F21" i="11"/>
  <c r="K21" i="11"/>
  <c r="L21" i="11"/>
  <c r="M21" i="11"/>
  <c r="M27" i="11"/>
  <c r="M26" i="11"/>
  <c r="M28" i="11"/>
  <c r="L27" i="11"/>
  <c r="L26" i="11"/>
  <c r="L28" i="11"/>
  <c r="K27" i="11"/>
  <c r="K26" i="11"/>
  <c r="K28" i="11"/>
  <c r="B3" i="11"/>
  <c r="F20" i="3"/>
  <c r="P20" i="3"/>
  <c r="W19" i="3"/>
  <c r="Y19" i="3"/>
  <c r="Z19" i="3"/>
  <c r="H19" i="3"/>
  <c r="F19" i="3"/>
  <c r="K19" i="3"/>
  <c r="P19" i="3"/>
  <c r="N20" i="3"/>
  <c r="O20" i="3"/>
  <c r="N19" i="3"/>
  <c r="O19" i="3"/>
  <c r="Q20" i="3"/>
  <c r="R20" i="3"/>
  <c r="T20" i="3"/>
  <c r="Q19" i="3"/>
  <c r="R19" i="3"/>
  <c r="T19" i="3"/>
  <c r="B3" i="3"/>
  <c r="S20" i="3"/>
  <c r="L20" i="3"/>
  <c r="M20" i="3"/>
  <c r="K5" i="5"/>
  <c r="S19" i="3"/>
  <c r="L19" i="3"/>
  <c r="M19" i="3"/>
</calcChain>
</file>

<file path=xl/sharedStrings.xml><?xml version="1.0" encoding="utf-8"?>
<sst xmlns="http://schemas.openxmlformats.org/spreadsheetml/2006/main" count="169" uniqueCount="60">
  <si>
    <t>Sample Name</t>
  </si>
  <si>
    <t>(T) Change in Temp.</t>
  </si>
  <si>
    <t>(w) energy equivalent of calorimeter in calories per degree C</t>
  </si>
  <si>
    <t>(m)Weight in grams</t>
  </si>
  <si>
    <t>11373 Btu/lb</t>
  </si>
  <si>
    <t>CV</t>
  </si>
  <si>
    <t>STDEV</t>
  </si>
  <si>
    <t>Benzoic Acid Expected</t>
  </si>
  <si>
    <t>wire used</t>
  </si>
  <si>
    <t>Benzoic Average</t>
  </si>
  <si>
    <t>(m)Weight in grams of sample</t>
  </si>
  <si>
    <t>(m)Weight in grams of spike used</t>
  </si>
  <si>
    <t>(Hc) gross heat of combustion in calories per gram</t>
  </si>
  <si>
    <t>BZ-check</t>
  </si>
  <si>
    <t>wire used (cal)</t>
  </si>
  <si>
    <t xml:space="preserve">Benzoic </t>
  </si>
  <si>
    <t>international Steam Table</t>
  </si>
  <si>
    <t>kJ/mol</t>
  </si>
  <si>
    <t>kJ/g</t>
  </si>
  <si>
    <t>(Hg) gross heat of combustion in calories per gram (IT)</t>
  </si>
  <si>
    <t>(Hg) gross heat of combustion in calories (IT) per gram</t>
  </si>
  <si>
    <t>.</t>
  </si>
  <si>
    <t>cal</t>
  </si>
  <si>
    <t>start (g)</t>
  </si>
  <si>
    <t>end (g)</t>
  </si>
  <si>
    <t>Btu/Ib</t>
  </si>
  <si>
    <t>Net heat of combustion in calories per gram (IT)</t>
  </si>
  <si>
    <t>Net heat of combustion in Btu/lb-Hydrogen content corrected</t>
  </si>
  <si>
    <t>6318.4 cal/g</t>
  </si>
  <si>
    <t>Nitric Acid Correction</t>
  </si>
  <si>
    <t>Heat of Formation of Nitric Acid calories/milliequivalant</t>
  </si>
  <si>
    <t>mL of titrant</t>
  </si>
  <si>
    <t>HOE-PhoR II - Sed Traps</t>
  </si>
  <si>
    <t>with correction</t>
  </si>
  <si>
    <t>without</t>
  </si>
  <si>
    <t>Benzoic Acid:</t>
  </si>
  <si>
    <t>g/mol</t>
  </si>
  <si>
    <t>cal/g</t>
  </si>
  <si>
    <t>Btu/lb</t>
  </si>
  <si>
    <t>MJ/kg</t>
  </si>
  <si>
    <t>thermochemical cal</t>
  </si>
  <si>
    <t>J</t>
  </si>
  <si>
    <t>conversion:</t>
  </si>
  <si>
    <t>kJ/mol (measured)</t>
  </si>
  <si>
    <t>±4</t>
  </si>
  <si>
    <t>SD</t>
  </si>
  <si>
    <t>kJ/mol (calculated)</t>
  </si>
  <si>
    <t>kJ/mol (literature)</t>
  </si>
  <si>
    <t>Wire calculation 1 cm = 2.3 cal or 1400 cal/g</t>
  </si>
  <si>
    <t>Measured - Expected</t>
  </si>
  <si>
    <t>% Diff.</t>
  </si>
  <si>
    <t>% Recovery</t>
  </si>
  <si>
    <t>Average</t>
  </si>
  <si>
    <t>J/g</t>
  </si>
  <si>
    <t>J/mg</t>
  </si>
  <si>
    <t>HOE-PhoR II 160m</t>
  </si>
  <si>
    <t>HOE-PhoR II 110m</t>
  </si>
  <si>
    <t>110m</t>
  </si>
  <si>
    <t>160m</t>
  </si>
  <si>
    <t>Plankton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</si>
</sst>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0000"/>
  </numFmts>
  <fonts count="16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6"/>
      <color rgb="FFFF0000"/>
      <name val="Calibri"/>
      <scheme val="minor"/>
    </font>
    <font>
      <sz val="12"/>
      <name val="Calibri"/>
      <scheme val="minor"/>
    </font>
    <font>
      <sz val="16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scheme val="minor"/>
    </font>
    <font>
      <b/>
      <sz val="12"/>
      <color rgb="FFFF0000"/>
      <name val="Calibri"/>
      <scheme val="minor"/>
    </font>
    <font>
      <sz val="16"/>
      <name val="Calibri"/>
      <scheme val="minor"/>
    </font>
    <font>
      <sz val="8"/>
      <name val="Calibri"/>
      <family val="2"/>
      <scheme val="minor"/>
    </font>
    <font>
      <b/>
      <sz val="12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10" fontId="1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/>
    <xf numFmtId="10" fontId="10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2" borderId="0" xfId="0" applyFont="1" applyFill="1"/>
    <xf numFmtId="0" fontId="0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2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</cellXfs>
  <cellStyles count="3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125" zoomScaleNormal="125" zoomScalePageLayoutView="125" workbookViewId="0">
      <selection sqref="A1:B1"/>
    </sheetView>
  </sheetViews>
  <sheetFormatPr baseColWidth="10" defaultRowHeight="15" x14ac:dyDescent="0"/>
  <cols>
    <col min="1" max="1" width="19.1640625" customWidth="1"/>
    <col min="2" max="2" width="18" customWidth="1"/>
    <col min="3" max="3" width="14" customWidth="1"/>
    <col min="4" max="4" width="15.33203125" customWidth="1"/>
    <col min="5" max="6" width="14" customWidth="1"/>
    <col min="7" max="7" width="23.5" customWidth="1"/>
    <col min="8" max="8" width="15.83203125" customWidth="1"/>
    <col min="9" max="9" width="17.33203125" customWidth="1"/>
    <col min="10" max="10" width="18.5" customWidth="1"/>
    <col min="17" max="17" width="11.5" customWidth="1"/>
  </cols>
  <sheetData>
    <row r="1" spans="1:17" ht="61" customHeight="1">
      <c r="A1" s="52" t="s">
        <v>7</v>
      </c>
      <c r="B1" s="53"/>
      <c r="C1" s="16"/>
      <c r="D1" s="16"/>
      <c r="E1" s="16"/>
      <c r="F1" s="16"/>
      <c r="G1" s="16"/>
      <c r="H1" s="16"/>
      <c r="I1" s="16" t="s">
        <v>28</v>
      </c>
      <c r="J1" s="5" t="s">
        <v>4</v>
      </c>
      <c r="L1" s="1"/>
    </row>
    <row r="2" spans="1:17" ht="120">
      <c r="A2" s="16"/>
      <c r="B2" s="16" t="s">
        <v>0</v>
      </c>
      <c r="C2" s="4" t="s">
        <v>3</v>
      </c>
      <c r="D2" s="4" t="s">
        <v>30</v>
      </c>
      <c r="E2" s="4" t="s">
        <v>29</v>
      </c>
      <c r="F2" s="4" t="s">
        <v>8</v>
      </c>
      <c r="G2" s="16" t="s">
        <v>1</v>
      </c>
      <c r="H2" s="4" t="s">
        <v>2</v>
      </c>
      <c r="I2" s="4" t="s">
        <v>20</v>
      </c>
      <c r="J2" s="1"/>
      <c r="K2" s="1"/>
      <c r="L2" s="2"/>
      <c r="M2" s="54" t="s">
        <v>48</v>
      </c>
      <c r="N2" s="54"/>
      <c r="O2" s="54"/>
      <c r="P2" s="54"/>
      <c r="Q2" s="54"/>
    </row>
    <row r="3" spans="1:17" ht="20">
      <c r="A3" s="1"/>
      <c r="B3" s="1"/>
      <c r="C3" s="1"/>
      <c r="D3" s="16">
        <v>14.1</v>
      </c>
      <c r="E3" s="16">
        <v>7.0900000000000005E-2</v>
      </c>
      <c r="F3" s="1"/>
      <c r="G3" s="1"/>
      <c r="H3" s="1"/>
      <c r="I3" s="1"/>
      <c r="J3" s="1"/>
      <c r="K3" s="1"/>
      <c r="L3" s="16"/>
      <c r="M3" s="16" t="s">
        <v>23</v>
      </c>
      <c r="N3" s="16" t="s">
        <v>22</v>
      </c>
      <c r="O3" s="16" t="s">
        <v>24</v>
      </c>
      <c r="P3" s="16" t="s">
        <v>22</v>
      </c>
      <c r="Q3" s="16" t="s">
        <v>8</v>
      </c>
    </row>
    <row r="5" spans="1:17" ht="20">
      <c r="A5" s="2"/>
      <c r="B5" s="2" t="s">
        <v>15</v>
      </c>
      <c r="C5" s="2">
        <v>0.19945750000000001</v>
      </c>
      <c r="D5" s="2">
        <v>1.2</v>
      </c>
      <c r="E5" s="2">
        <f t="shared" ref="E5" si="0">D5*$D$3*$E$3</f>
        <v>1.1996279999999999</v>
      </c>
      <c r="F5" s="26">
        <f>Q5</f>
        <v>12.400359999999997</v>
      </c>
      <c r="G5" s="2">
        <v>2.3851</v>
      </c>
      <c r="H5" s="24">
        <f t="shared" ref="H5" si="1">((C5*6318.4)+F5+E5)/G5</f>
        <v>534.08756697832382</v>
      </c>
      <c r="I5" s="2">
        <f t="shared" ref="I5" si="2">((G5*H5)-F5-E5)/C5</f>
        <v>6318.4</v>
      </c>
      <c r="J5" s="2">
        <v>11376.463</v>
      </c>
      <c r="K5" s="15">
        <f>J5/11373</f>
        <v>1.0003044930976874</v>
      </c>
      <c r="L5" s="8"/>
      <c r="M5" s="8">
        <v>1.49155E-2</v>
      </c>
      <c r="N5" s="8">
        <f>M5*1400</f>
        <v>20.881699999999999</v>
      </c>
      <c r="O5" s="8">
        <v>6.0581000000000003E-3</v>
      </c>
      <c r="P5">
        <f t="shared" ref="P5" si="3">O5*1400</f>
        <v>8.4813400000000012</v>
      </c>
      <c r="Q5" s="25">
        <f t="shared" ref="Q5" si="4">N5-P5</f>
        <v>12.400359999999997</v>
      </c>
    </row>
    <row r="6" spans="1:17">
      <c r="H6" s="51"/>
    </row>
    <row r="7" spans="1:17">
      <c r="H7" s="51"/>
    </row>
    <row r="8" spans="1:17" ht="20">
      <c r="A8" s="2"/>
      <c r="B8" s="2"/>
      <c r="C8" s="2"/>
      <c r="D8" s="2"/>
      <c r="E8" s="2"/>
      <c r="F8" s="2"/>
      <c r="G8" s="2"/>
      <c r="H8" s="24"/>
      <c r="I8" s="2"/>
      <c r="J8" s="1"/>
      <c r="K8" s="1"/>
      <c r="L8" s="8"/>
      <c r="M8" s="18"/>
      <c r="N8" s="8"/>
      <c r="O8" s="8"/>
      <c r="P8" s="8"/>
      <c r="Q8" s="8"/>
    </row>
    <row r="9" spans="1:17" ht="20">
      <c r="A9" s="2"/>
      <c r="B9" s="2"/>
      <c r="C9" s="2"/>
      <c r="D9" s="2"/>
      <c r="E9" s="2"/>
      <c r="F9" s="2"/>
      <c r="G9" s="2"/>
      <c r="H9" s="24"/>
      <c r="I9" s="2"/>
      <c r="J9" s="1"/>
      <c r="K9" s="1"/>
      <c r="L9" s="1"/>
      <c r="M9" s="1"/>
    </row>
    <row r="10" spans="1:17" ht="20">
      <c r="A10" s="2"/>
      <c r="B10" s="2"/>
      <c r="C10" s="2"/>
      <c r="D10" s="2"/>
      <c r="E10" s="2"/>
      <c r="F10" s="2"/>
      <c r="G10" s="2" t="s">
        <v>52</v>
      </c>
      <c r="H10" s="24">
        <f>H5</f>
        <v>534.08756697832382</v>
      </c>
      <c r="L10" s="1"/>
      <c r="M10" s="1"/>
    </row>
    <row r="11" spans="1:17" ht="20">
      <c r="A11" s="2"/>
      <c r="B11" s="2"/>
      <c r="C11" s="2"/>
      <c r="D11" s="2"/>
      <c r="E11" s="2"/>
      <c r="F11" s="2"/>
      <c r="G11" s="2"/>
      <c r="H11" s="2"/>
      <c r="L11" s="1"/>
      <c r="M11" s="1"/>
    </row>
    <row r="12" spans="1:17" ht="20">
      <c r="A12" s="2"/>
      <c r="B12" s="2"/>
      <c r="C12" s="2"/>
      <c r="D12" s="2"/>
      <c r="E12" s="2"/>
      <c r="F12" s="2"/>
      <c r="G12" s="2"/>
      <c r="H12" s="6"/>
      <c r="L12" s="1"/>
      <c r="M12" s="1"/>
    </row>
    <row r="13" spans="1:17" ht="20">
      <c r="A13" s="2"/>
      <c r="B13" s="2"/>
      <c r="C13" s="2"/>
      <c r="D13" s="2"/>
      <c r="E13" s="2"/>
      <c r="F13" s="2"/>
      <c r="G13" s="2"/>
      <c r="H13" s="2"/>
      <c r="L13" s="1"/>
      <c r="M13" s="1"/>
    </row>
    <row r="14" spans="1:17" ht="20">
      <c r="A14" s="2"/>
      <c r="B14" s="2"/>
      <c r="C14" s="2"/>
      <c r="D14" s="2"/>
      <c r="E14" s="2"/>
      <c r="F14" s="2"/>
      <c r="G14" s="2"/>
      <c r="H14" s="2"/>
      <c r="L14" s="1"/>
      <c r="M14" s="1"/>
    </row>
    <row r="15" spans="1:17" ht="20">
      <c r="A15" s="2"/>
      <c r="B15" s="2"/>
      <c r="C15" s="2"/>
      <c r="D15" s="2"/>
      <c r="E15" s="2"/>
      <c r="F15" s="2"/>
      <c r="G15" s="2"/>
      <c r="H15" s="2"/>
      <c r="I15" s="2"/>
      <c r="J15" s="1"/>
      <c r="K15" s="1" t="s">
        <v>21</v>
      </c>
      <c r="L15" s="1"/>
      <c r="M15" s="1"/>
    </row>
    <row r="16" spans="1:17" ht="20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</row>
    <row r="17" spans="1:13" ht="20">
      <c r="A17" s="2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</row>
    <row r="18" spans="1:13" ht="20">
      <c r="A18" s="2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</row>
    <row r="19" spans="1:13" ht="20">
      <c r="A19" s="2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</row>
    <row r="20" spans="1:13" ht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2">
    <mergeCell ref="A1:B1"/>
    <mergeCell ref="M2:Q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="125" zoomScaleNormal="125" zoomScalePageLayoutView="125" workbookViewId="0">
      <selection activeCell="A29" sqref="A29"/>
    </sheetView>
  </sheetViews>
  <sheetFormatPr baseColWidth="10" defaultRowHeight="15" x14ac:dyDescent="0"/>
  <cols>
    <col min="1" max="1" width="19.1640625" customWidth="1"/>
    <col min="2" max="2" width="18" customWidth="1"/>
    <col min="3" max="4" width="14" customWidth="1"/>
    <col min="5" max="5" width="15.5" customWidth="1"/>
    <col min="6" max="8" width="14" customWidth="1"/>
    <col min="9" max="9" width="23.5" customWidth="1"/>
    <col min="10" max="10" width="15.83203125" customWidth="1"/>
    <col min="11" max="12" width="17.33203125" customWidth="1"/>
    <col min="13" max="13" width="19.1640625" customWidth="1"/>
    <col min="14" max="14" width="13.83203125" customWidth="1"/>
    <col min="15" max="15" width="10.5" customWidth="1"/>
    <col min="16" max="16" width="12.83203125" customWidth="1"/>
    <col min="19" max="19" width="15.1640625" customWidth="1"/>
    <col min="20" max="20" width="15.5" customWidth="1"/>
  </cols>
  <sheetData>
    <row r="1" spans="1:26">
      <c r="A1" s="55" t="s">
        <v>35</v>
      </c>
      <c r="B1" s="53"/>
      <c r="C1" s="43"/>
      <c r="D1" s="43" t="s">
        <v>42</v>
      </c>
      <c r="E1" s="44"/>
    </row>
    <row r="2" spans="1:26">
      <c r="A2" s="39" t="s">
        <v>36</v>
      </c>
      <c r="B2" s="41" t="s">
        <v>46</v>
      </c>
      <c r="C2" s="45"/>
      <c r="D2" s="45" t="s">
        <v>22</v>
      </c>
      <c r="E2" s="45" t="s">
        <v>41</v>
      </c>
    </row>
    <row r="3" spans="1:26">
      <c r="A3" s="40">
        <v>122.12130000000001</v>
      </c>
      <c r="B3" s="47">
        <f>((A5*E3)/1000)*A3</f>
        <v>3228.4213525132805</v>
      </c>
      <c r="C3" s="46"/>
      <c r="D3" s="46">
        <v>1</v>
      </c>
      <c r="E3" s="46">
        <v>4.1840000000000002</v>
      </c>
    </row>
    <row r="4" spans="1:26">
      <c r="A4" s="41" t="s">
        <v>37</v>
      </c>
      <c r="B4" s="41" t="s">
        <v>47</v>
      </c>
      <c r="C4" s="45" t="s">
        <v>45</v>
      </c>
    </row>
    <row r="5" spans="1:26">
      <c r="A5" s="42">
        <v>6318.4</v>
      </c>
      <c r="B5" s="42">
        <v>3228.29</v>
      </c>
      <c r="C5" s="46" t="s">
        <v>44</v>
      </c>
    </row>
    <row r="6" spans="1:26">
      <c r="A6" s="41" t="s">
        <v>40</v>
      </c>
    </row>
    <row r="7" spans="1:26">
      <c r="A7" s="42">
        <v>6323</v>
      </c>
    </row>
    <row r="8" spans="1:26">
      <c r="A8" s="41" t="s">
        <v>38</v>
      </c>
    </row>
    <row r="9" spans="1:26">
      <c r="A9" s="42">
        <v>11373</v>
      </c>
    </row>
    <row r="10" spans="1:26">
      <c r="A10" s="39" t="s">
        <v>39</v>
      </c>
    </row>
    <row r="11" spans="1:26">
      <c r="A11" s="42">
        <v>26.452999999999999</v>
      </c>
    </row>
    <row r="12" spans="1:26">
      <c r="A12" s="41" t="s">
        <v>43</v>
      </c>
    </row>
    <row r="13" spans="1:26">
      <c r="A13" s="42">
        <v>3228.29</v>
      </c>
    </row>
    <row r="15" spans="1:26" ht="120">
      <c r="A15" s="3"/>
      <c r="B15" s="3" t="s">
        <v>0</v>
      </c>
      <c r="C15" s="4" t="s">
        <v>10</v>
      </c>
      <c r="D15" s="4" t="s">
        <v>11</v>
      </c>
      <c r="E15" s="4" t="s">
        <v>30</v>
      </c>
      <c r="F15" s="4" t="s">
        <v>29</v>
      </c>
      <c r="G15" s="4"/>
      <c r="H15" s="4" t="s">
        <v>8</v>
      </c>
      <c r="I15" s="3" t="s">
        <v>1</v>
      </c>
      <c r="J15" s="4" t="s">
        <v>2</v>
      </c>
      <c r="K15" s="4" t="s">
        <v>19</v>
      </c>
      <c r="L15" s="4" t="s">
        <v>27</v>
      </c>
      <c r="M15" s="4" t="s">
        <v>26</v>
      </c>
      <c r="N15" s="4" t="s">
        <v>49</v>
      </c>
      <c r="O15" s="4" t="s">
        <v>50</v>
      </c>
      <c r="P15" s="4" t="s">
        <v>51</v>
      </c>
      <c r="Q15" s="9" t="s">
        <v>53</v>
      </c>
      <c r="R15" s="34" t="s">
        <v>18</v>
      </c>
      <c r="S15" s="34" t="s">
        <v>25</v>
      </c>
      <c r="T15" s="34" t="s">
        <v>17</v>
      </c>
      <c r="U15" s="17"/>
      <c r="V15" s="54" t="s">
        <v>48</v>
      </c>
      <c r="W15" s="54"/>
      <c r="X15" s="54"/>
      <c r="Y15" s="54"/>
      <c r="Z15" s="54"/>
    </row>
    <row r="16" spans="1:26" ht="20">
      <c r="A16" s="1"/>
      <c r="B16" s="1"/>
      <c r="C16" s="1"/>
      <c r="D16" s="1"/>
      <c r="E16" s="2">
        <v>14.1</v>
      </c>
      <c r="F16" s="2">
        <v>7.0900000000000005E-2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"/>
      <c r="T16" s="9"/>
      <c r="V16" s="11"/>
    </row>
    <row r="17" spans="1:26" ht="20">
      <c r="A17" s="2"/>
      <c r="B17" s="2" t="s">
        <v>9</v>
      </c>
      <c r="C17" s="2"/>
      <c r="D17" s="2"/>
      <c r="E17" s="2"/>
      <c r="F17" s="2"/>
      <c r="G17" s="2"/>
      <c r="H17" s="2"/>
      <c r="I17" s="2"/>
      <c r="J17" s="24">
        <f>'Calabration Bomb2'!H10</f>
        <v>534.08756697832382</v>
      </c>
      <c r="K17" s="2">
        <v>6318.4</v>
      </c>
      <c r="L17" s="2"/>
      <c r="M17" s="2"/>
      <c r="N17" s="2"/>
      <c r="O17" s="2"/>
      <c r="P17" s="2"/>
      <c r="Q17" s="10"/>
      <c r="R17" s="1"/>
      <c r="S17" s="1"/>
      <c r="T17" s="1"/>
      <c r="V17" s="48"/>
      <c r="W17" s="21"/>
      <c r="X17" s="21"/>
      <c r="Y17" s="21"/>
      <c r="Z17" s="21"/>
    </row>
    <row r="18" spans="1:26" ht="20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  <c r="Q18" s="9"/>
      <c r="R18" s="9"/>
      <c r="S18" s="16"/>
      <c r="T18" s="9"/>
      <c r="V18" s="22" t="s">
        <v>23</v>
      </c>
      <c r="W18" s="22" t="s">
        <v>22</v>
      </c>
      <c r="X18" s="22" t="s">
        <v>24</v>
      </c>
      <c r="Y18" s="22" t="s">
        <v>22</v>
      </c>
      <c r="Z18" s="22" t="s">
        <v>8</v>
      </c>
    </row>
    <row r="19" spans="1:26" ht="20">
      <c r="A19" s="2" t="s">
        <v>33</v>
      </c>
      <c r="B19" s="2" t="s">
        <v>13</v>
      </c>
      <c r="C19" s="2">
        <v>3.7133399999999997E-2</v>
      </c>
      <c r="D19" s="7"/>
      <c r="E19" s="2">
        <v>0.45</v>
      </c>
      <c r="F19" s="24">
        <f>E19*$E$16*$F$16</f>
        <v>0.4498605</v>
      </c>
      <c r="G19" s="2"/>
      <c r="H19" s="2">
        <f>Z19</f>
        <v>14.6069</v>
      </c>
      <c r="I19" s="2">
        <v>0.46820000000000001</v>
      </c>
      <c r="J19" s="2"/>
      <c r="K19" s="2">
        <f>((I19*J$17)-H19-F19)/C19</f>
        <v>6328.6162419614475</v>
      </c>
      <c r="L19" s="2">
        <f>S19-(92.7)*(0.0495)</f>
        <v>11386.920585530606</v>
      </c>
      <c r="M19" s="24">
        <f>L19/1.8</f>
        <v>6326.0669919614475</v>
      </c>
      <c r="N19" s="24">
        <f>K19-K17</f>
        <v>10.216241961447849</v>
      </c>
      <c r="O19" s="37">
        <f>(N19/K17)*100</f>
        <v>0.16169033238553826</v>
      </c>
      <c r="P19" s="37">
        <f>(K19/K17)*100</f>
        <v>100.16169033238553</v>
      </c>
      <c r="Q19" s="1">
        <f>K19*E$3</f>
        <v>26478.930356366698</v>
      </c>
      <c r="R19" s="1">
        <f>Q19/1000</f>
        <v>26.4789303563667</v>
      </c>
      <c r="S19" s="37">
        <f>K19*1.8</f>
        <v>11391.509235530606</v>
      </c>
      <c r="T19" s="24">
        <f>R19*$A$3</f>
        <v>3233.6413977289649</v>
      </c>
      <c r="V19" s="21">
        <v>1.49219E-2</v>
      </c>
      <c r="W19" s="21">
        <f>V19*1400</f>
        <v>20.89066</v>
      </c>
      <c r="X19" s="21">
        <v>4.4884E-3</v>
      </c>
      <c r="Y19" s="21">
        <f>X19*1400</f>
        <v>6.28376</v>
      </c>
      <c r="Z19" s="21">
        <f>W19-Y19</f>
        <v>14.6069</v>
      </c>
    </row>
    <row r="20" spans="1:26" ht="20">
      <c r="A20" s="2" t="s">
        <v>34</v>
      </c>
      <c r="B20" s="2" t="s">
        <v>13</v>
      </c>
      <c r="C20" s="2">
        <v>3.7133399999999997E-2</v>
      </c>
      <c r="D20" s="7"/>
      <c r="E20" s="2">
        <v>0</v>
      </c>
      <c r="F20" s="24">
        <f>E20*$E$16*$F$16</f>
        <v>0</v>
      </c>
      <c r="G20" s="2"/>
      <c r="H20" s="2">
        <f>Z20</f>
        <v>14.6069</v>
      </c>
      <c r="I20" s="2">
        <v>0.46820000000000001</v>
      </c>
      <c r="J20" s="2"/>
      <c r="K20" s="2">
        <f>((I20*J$17)-H20-F20)/C20</f>
        <v>6340.730955400023</v>
      </c>
      <c r="L20" s="2">
        <f>S20-(92.7)*(0.0495)</f>
        <v>11408.727069720042</v>
      </c>
      <c r="M20" s="24">
        <f>L20/1.8</f>
        <v>6338.181705400023</v>
      </c>
      <c r="N20" s="24">
        <f>K20-K17</f>
        <v>22.330955400023413</v>
      </c>
      <c r="O20" s="37">
        <f>(N20/K17)*100</f>
        <v>0.35342737718446782</v>
      </c>
      <c r="P20" s="37">
        <f>(K20/K17)*100</f>
        <v>100.35342737718447</v>
      </c>
      <c r="Q20" s="1">
        <f>K20*E$3</f>
        <v>26529.618317393699</v>
      </c>
      <c r="R20" s="1">
        <f>Q20/1000</f>
        <v>26.529618317393698</v>
      </c>
      <c r="S20" s="37">
        <f>K20*1.8</f>
        <v>11413.315719720042</v>
      </c>
      <c r="T20" s="24">
        <f>R20*$A$3</f>
        <v>3239.8314774239311</v>
      </c>
      <c r="V20" s="21">
        <v>1.49219E-2</v>
      </c>
      <c r="W20" s="21">
        <f>V20*1400</f>
        <v>20.89066</v>
      </c>
      <c r="X20" s="21">
        <v>4.4884E-3</v>
      </c>
      <c r="Y20" s="21">
        <f>X20*1400</f>
        <v>6.28376</v>
      </c>
      <c r="Z20" s="21">
        <f>W20-Y20</f>
        <v>14.6069</v>
      </c>
    </row>
    <row r="21" spans="1:26" ht="20">
      <c r="A21" s="2"/>
      <c r="B21" s="2"/>
      <c r="C21" s="2"/>
      <c r="D21" s="7"/>
      <c r="E21" s="2"/>
      <c r="F21" s="24"/>
      <c r="G21" s="2"/>
      <c r="H21" s="2"/>
      <c r="I21" s="2"/>
      <c r="J21" s="2"/>
      <c r="K21" s="2"/>
      <c r="L21" s="2"/>
      <c r="M21" s="24"/>
      <c r="N21" s="24"/>
      <c r="O21" s="37"/>
      <c r="P21" s="37"/>
      <c r="Q21" s="1"/>
      <c r="R21" s="1"/>
      <c r="S21" s="37"/>
      <c r="T21" s="24"/>
      <c r="V21" s="21"/>
      <c r="W21" s="21"/>
      <c r="X21" s="21"/>
      <c r="Y21" s="21"/>
      <c r="Z21" s="21"/>
    </row>
    <row r="22" spans="1:26" ht="20">
      <c r="A22" s="2" t="s">
        <v>33</v>
      </c>
      <c r="B22" s="2" t="s">
        <v>13</v>
      </c>
      <c r="C22" s="29">
        <v>3.3653000000000002E-2</v>
      </c>
      <c r="D22" s="7"/>
      <c r="E22" s="2">
        <v>0.45</v>
      </c>
      <c r="F22" s="24">
        <f>E22*$E$16*$F$16</f>
        <v>0.4498605</v>
      </c>
      <c r="G22" s="2"/>
      <c r="H22" s="2">
        <f>Z22</f>
        <v>14.706580000000001</v>
      </c>
      <c r="I22" s="29">
        <v>0.42580000000000001</v>
      </c>
      <c r="J22" s="2"/>
      <c r="K22" s="2">
        <f>((I22*J$17)-H22-F22)/C22</f>
        <v>6307.2547921246332</v>
      </c>
      <c r="L22" s="2">
        <f>S22-(92.7)*(0.0495)</f>
        <v>11348.469975824341</v>
      </c>
      <c r="M22" s="24">
        <f>L22/1.8</f>
        <v>6304.7055421246332</v>
      </c>
      <c r="N22" s="24">
        <f>K22-K20</f>
        <v>-33.476163275389808</v>
      </c>
      <c r="O22" s="37">
        <f>(N22/K20)*100</f>
        <v>-0.52795432436508216</v>
      </c>
      <c r="P22" s="37">
        <f>(K22/K20)*100</f>
        <v>99.472045675634917</v>
      </c>
      <c r="Q22" s="1">
        <f>K22*E$3</f>
        <v>26389.554050249466</v>
      </c>
      <c r="R22" s="1">
        <f>Q22/1000</f>
        <v>26.389554050249465</v>
      </c>
      <c r="S22" s="37">
        <f>K22*1.8</f>
        <v>11353.05862582434</v>
      </c>
      <c r="T22" s="24">
        <f>R22*$A$3</f>
        <v>3222.7266470367304</v>
      </c>
      <c r="V22" s="18">
        <v>1.48424E-2</v>
      </c>
      <c r="W22" s="21">
        <f>V22*1400</f>
        <v>20.77936</v>
      </c>
      <c r="X22" s="18">
        <v>4.3376999999999999E-3</v>
      </c>
      <c r="Y22" s="21">
        <f>X22*1400</f>
        <v>6.0727799999999998</v>
      </c>
      <c r="Z22" s="21">
        <f>W22-Y22</f>
        <v>14.706580000000001</v>
      </c>
    </row>
    <row r="23" spans="1:26" ht="20">
      <c r="A23" s="2" t="s">
        <v>34</v>
      </c>
      <c r="B23" s="2" t="s">
        <v>13</v>
      </c>
      <c r="C23" s="29">
        <v>3.3653000000000002E-2</v>
      </c>
      <c r="D23" s="7"/>
      <c r="E23" s="2">
        <v>0</v>
      </c>
      <c r="F23" s="24">
        <f>E23*$E$16*$F$16</f>
        <v>0</v>
      </c>
      <c r="G23" s="2"/>
      <c r="H23" s="2">
        <f>Z23</f>
        <v>14.706580000000001</v>
      </c>
      <c r="I23" s="29">
        <v>0.42580000000000001</v>
      </c>
      <c r="J23" s="2"/>
      <c r="K23" s="2">
        <f>((I23*J$17)-H23-F23)/C23</f>
        <v>6320.6224116533522</v>
      </c>
      <c r="L23" s="2">
        <f>S23-(92.7)*(0.0495)</f>
        <v>11372.531690976035</v>
      </c>
      <c r="M23" s="24">
        <f>L23/1.8</f>
        <v>6318.0731616533521</v>
      </c>
      <c r="N23" s="24">
        <f>K23-K20</f>
        <v>-20.108543746670875</v>
      </c>
      <c r="O23" s="37">
        <f>(N23/K20)*100</f>
        <v>-0.31713289663466365</v>
      </c>
      <c r="P23" s="37">
        <f>(K23/K20)*100</f>
        <v>99.682867103365339</v>
      </c>
      <c r="Q23" s="1">
        <f>K23*E$3</f>
        <v>26445.484170357628</v>
      </c>
      <c r="R23" s="1">
        <f>Q23/1000</f>
        <v>26.445484170357627</v>
      </c>
      <c r="S23" s="37">
        <f>K23*1.8</f>
        <v>11377.120340976035</v>
      </c>
      <c r="T23" s="24">
        <f>R23*$A$3</f>
        <v>3229.5569060134949</v>
      </c>
      <c r="V23" s="18">
        <v>1.48424E-2</v>
      </c>
      <c r="W23" s="21">
        <f>V23*1400</f>
        <v>20.77936</v>
      </c>
      <c r="X23" s="18">
        <v>4.3376999999999999E-3</v>
      </c>
      <c r="Y23" s="21">
        <f>X23*1400</f>
        <v>6.0727799999999998</v>
      </c>
      <c r="Z23" s="21">
        <f>W23-Y23</f>
        <v>14.706580000000001</v>
      </c>
    </row>
    <row r="24" spans="1:26" ht="20">
      <c r="A24" s="2"/>
      <c r="B24" s="2"/>
      <c r="C24" s="29"/>
      <c r="D24" s="7"/>
      <c r="E24" s="29"/>
      <c r="F24" s="24"/>
      <c r="G24" s="2"/>
      <c r="H24" s="2"/>
      <c r="I24" s="29"/>
      <c r="J24" s="2"/>
      <c r="K24" s="2"/>
      <c r="L24" s="2"/>
      <c r="M24" s="24"/>
      <c r="N24" s="24"/>
      <c r="O24" s="24"/>
      <c r="P24" s="24"/>
      <c r="Q24" s="1"/>
      <c r="R24" s="1"/>
      <c r="S24" s="2"/>
      <c r="T24" s="1"/>
      <c r="V24" s="18"/>
      <c r="W24" s="21"/>
      <c r="X24" s="18"/>
      <c r="Y24" s="21"/>
      <c r="Z24" s="21"/>
    </row>
    <row r="25" spans="1:26" ht="20">
      <c r="A25" s="2" t="s">
        <v>33</v>
      </c>
      <c r="B25" s="7" t="s">
        <v>59</v>
      </c>
      <c r="C25" s="2">
        <v>6.8443000000000002E-3</v>
      </c>
      <c r="D25" s="2">
        <v>3.0685E-2</v>
      </c>
      <c r="E25" s="7">
        <v>0.45</v>
      </c>
      <c r="F25" s="38">
        <f t="shared" ref="F25:F26" si="0">E25*$E$16*$F$16</f>
        <v>0.4498605</v>
      </c>
      <c r="G25" s="27"/>
      <c r="H25" s="2">
        <f>Z25</f>
        <v>16.514960000000002</v>
      </c>
      <c r="I25" s="2">
        <v>0.4471</v>
      </c>
      <c r="J25" s="7"/>
      <c r="K25" s="7">
        <f t="shared" ref="K25:K26" si="1">((I25)*(J$17)-H25-F25-(K$17)*(D25))/C25</f>
        <v>4083.0511076382663</v>
      </c>
      <c r="L25" s="8"/>
      <c r="Q25" s="1">
        <f t="shared" ref="Q25:Q26" si="2">K25*E$3</f>
        <v>17083.485834358507</v>
      </c>
      <c r="R25" s="1">
        <f t="shared" ref="R25:R26" si="3">Q25/1000</f>
        <v>17.083485834358509</v>
      </c>
      <c r="S25" s="8"/>
      <c r="T25" s="8"/>
      <c r="U25" s="31"/>
      <c r="V25" s="18">
        <v>1.48349E-2</v>
      </c>
      <c r="W25" s="21">
        <f t="shared" ref="W25:W26" si="4">V25*1400</f>
        <v>20.76886</v>
      </c>
      <c r="X25" s="31">
        <v>3.0385E-3</v>
      </c>
      <c r="Y25" s="21">
        <f t="shared" ref="Y25:Y26" si="5">X25*1400</f>
        <v>4.2538999999999998</v>
      </c>
      <c r="Z25" s="21">
        <f t="shared" ref="Z25:Z26" si="6">W25-Y25</f>
        <v>16.514960000000002</v>
      </c>
    </row>
    <row r="26" spans="1:26" ht="20">
      <c r="A26" s="2" t="s">
        <v>34</v>
      </c>
      <c r="B26" s="7" t="s">
        <v>59</v>
      </c>
      <c r="C26" s="2">
        <v>6.8443000000000002E-3</v>
      </c>
      <c r="D26" s="2">
        <v>3.0685E-2</v>
      </c>
      <c r="E26" s="7"/>
      <c r="F26" s="38">
        <f t="shared" si="0"/>
        <v>0</v>
      </c>
      <c r="G26" s="27"/>
      <c r="H26" s="2">
        <f>Z26</f>
        <v>16.514960000000002</v>
      </c>
      <c r="I26" s="2">
        <v>0.4471</v>
      </c>
      <c r="J26" s="7"/>
      <c r="K26" s="7">
        <f t="shared" si="1"/>
        <v>4148.7788665033077</v>
      </c>
      <c r="L26" s="8"/>
      <c r="Q26" s="1">
        <f t="shared" si="2"/>
        <v>17358.490777449839</v>
      </c>
      <c r="R26" s="1">
        <f t="shared" si="3"/>
        <v>17.358490777449838</v>
      </c>
      <c r="S26" s="8"/>
      <c r="T26" s="8"/>
      <c r="U26" s="31"/>
      <c r="V26" s="18">
        <v>1.48349E-2</v>
      </c>
      <c r="W26" s="21">
        <f t="shared" si="4"/>
        <v>20.76886</v>
      </c>
      <c r="X26" s="31">
        <v>3.0385E-3</v>
      </c>
      <c r="Y26" s="21">
        <f t="shared" si="5"/>
        <v>4.2538999999999998</v>
      </c>
      <c r="Z26" s="21">
        <f t="shared" si="6"/>
        <v>16.514960000000002</v>
      </c>
    </row>
    <row r="27" spans="1:26" ht="20">
      <c r="A27" s="2"/>
      <c r="B27" s="2"/>
      <c r="C27" s="2"/>
      <c r="D27" s="7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</row>
    <row r="28" spans="1:26" ht="2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  <c r="S28" s="1"/>
      <c r="T28" s="1"/>
    </row>
    <row r="29" spans="1:26" ht="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</row>
    <row r="30" spans="1:26" ht="20">
      <c r="A30" s="2"/>
      <c r="B30" s="2"/>
      <c r="C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</row>
    <row r="31" spans="1:26" ht="20">
      <c r="A31" s="2"/>
      <c r="B31" s="2"/>
      <c r="C31" s="2"/>
      <c r="D31" s="33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</row>
    <row r="32" spans="1:26" ht="20">
      <c r="A32" s="2"/>
      <c r="B32" s="2"/>
      <c r="C32" s="2"/>
      <c r="D32" s="2"/>
      <c r="E32" s="2"/>
      <c r="F32" s="2"/>
      <c r="G32" s="2"/>
      <c r="H32" s="2"/>
      <c r="I32" s="2"/>
      <c r="J32" s="2"/>
      <c r="K32" s="6"/>
      <c r="L32" s="6"/>
      <c r="M32" s="1"/>
      <c r="N32" s="1"/>
      <c r="O32" s="1"/>
      <c r="P32" s="1"/>
      <c r="Q32" s="1"/>
      <c r="R32" s="1"/>
      <c r="S32" s="1"/>
      <c r="T32" s="1"/>
    </row>
    <row r="33" spans="1:20" ht="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</row>
    <row r="34" spans="1:20" ht="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  <c r="P34" s="1"/>
      <c r="Q34" s="1"/>
      <c r="R34" s="1"/>
      <c r="S34" s="1"/>
      <c r="T34" s="1"/>
    </row>
    <row r="35" spans="1:20" ht="20">
      <c r="A35" s="1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</row>
    <row r="36" spans="1:20" ht="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  <c r="P36" s="1"/>
      <c r="Q36" s="1"/>
      <c r="R36" s="1"/>
      <c r="S36" s="1"/>
      <c r="T36" s="1"/>
    </row>
    <row r="37" spans="1:20" ht="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</row>
    <row r="38" spans="1:20" ht="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</row>
    <row r="39" spans="1:20" ht="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  <c r="O39" s="1"/>
      <c r="P39" s="1"/>
      <c r="Q39" s="1"/>
      <c r="R39" s="1"/>
      <c r="S39" s="1"/>
      <c r="T39" s="1"/>
    </row>
    <row r="40" spans="1:20" ht="20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0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0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0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0">
      <c r="D53" s="1"/>
    </row>
    <row r="54" spans="1:20" ht="20">
      <c r="D54" s="1"/>
    </row>
    <row r="55" spans="1:20" ht="20">
      <c r="D55" s="1"/>
    </row>
    <row r="56" spans="1:20" ht="20">
      <c r="D56" s="1"/>
    </row>
  </sheetData>
  <mergeCells count="2">
    <mergeCell ref="A1:B1"/>
    <mergeCell ref="V15:Z15"/>
  </mergeCells>
  <phoneticPr fontId="1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S50"/>
  <sheetViews>
    <sheetView zoomScale="125" zoomScaleNormal="125" zoomScalePageLayoutView="125" workbookViewId="0">
      <selection activeCell="Q31" sqref="Q31"/>
    </sheetView>
  </sheetViews>
  <sheetFormatPr baseColWidth="10" defaultRowHeight="15" x14ac:dyDescent="0"/>
  <cols>
    <col min="1" max="1" width="19.1640625" customWidth="1"/>
    <col min="2" max="2" width="21.6640625" customWidth="1"/>
    <col min="3" max="4" width="14" customWidth="1"/>
    <col min="5" max="5" width="15.83203125" customWidth="1"/>
    <col min="6" max="8" width="14" customWidth="1"/>
    <col min="9" max="9" width="23.5" customWidth="1"/>
    <col min="10" max="10" width="15.83203125" customWidth="1"/>
    <col min="11" max="11" width="17.33203125" customWidth="1"/>
    <col min="12" max="13" width="14.5" bestFit="1" customWidth="1"/>
  </cols>
  <sheetData>
    <row r="1" spans="1:19">
      <c r="A1" s="55" t="s">
        <v>35</v>
      </c>
      <c r="B1" s="53"/>
      <c r="C1" s="43"/>
      <c r="D1" s="43" t="s">
        <v>42</v>
      </c>
      <c r="E1" s="44"/>
    </row>
    <row r="2" spans="1:19">
      <c r="A2" s="39" t="s">
        <v>36</v>
      </c>
      <c r="B2" s="41" t="s">
        <v>46</v>
      </c>
      <c r="C2" s="45"/>
      <c r="D2" s="45" t="s">
        <v>22</v>
      </c>
      <c r="E2" s="45" t="s">
        <v>41</v>
      </c>
    </row>
    <row r="3" spans="1:19">
      <c r="A3" s="40">
        <v>122.12130000000001</v>
      </c>
      <c r="B3" s="47">
        <f>((A5*E3)/1000)*A3</f>
        <v>3228.4213525132805</v>
      </c>
      <c r="C3" s="46"/>
      <c r="D3" s="46">
        <v>1</v>
      </c>
      <c r="E3" s="46">
        <v>4.1840000000000002</v>
      </c>
    </row>
    <row r="4" spans="1:19">
      <c r="A4" s="41" t="s">
        <v>37</v>
      </c>
      <c r="B4" s="41" t="s">
        <v>47</v>
      </c>
      <c r="C4" s="45" t="s">
        <v>45</v>
      </c>
    </row>
    <row r="5" spans="1:19">
      <c r="A5" s="42">
        <v>6318.4</v>
      </c>
      <c r="B5" s="42">
        <v>3228.29</v>
      </c>
      <c r="C5" s="46" t="s">
        <v>44</v>
      </c>
    </row>
    <row r="6" spans="1:19">
      <c r="A6" s="41" t="s">
        <v>40</v>
      </c>
    </row>
    <row r="7" spans="1:19">
      <c r="A7" s="42">
        <v>6323</v>
      </c>
    </row>
    <row r="8" spans="1:19">
      <c r="A8" s="41" t="s">
        <v>38</v>
      </c>
    </row>
    <row r="9" spans="1:19">
      <c r="A9" s="42">
        <v>11373</v>
      </c>
    </row>
    <row r="10" spans="1:19">
      <c r="A10" s="39" t="s">
        <v>39</v>
      </c>
    </row>
    <row r="11" spans="1:19">
      <c r="A11" s="42">
        <v>26.452999999999999</v>
      </c>
    </row>
    <row r="12" spans="1:19">
      <c r="A12" s="41" t="s">
        <v>43</v>
      </c>
    </row>
    <row r="13" spans="1:19">
      <c r="A13" s="42">
        <v>3228.29</v>
      </c>
    </row>
    <row r="14" spans="1:19" ht="61" customHeight="1">
      <c r="A14" s="52" t="s">
        <v>32</v>
      </c>
      <c r="B14" s="53"/>
      <c r="C14" s="34"/>
      <c r="D14" s="34"/>
      <c r="E14" s="34"/>
      <c r="F14" s="34"/>
      <c r="G14" s="34"/>
      <c r="H14" s="34"/>
      <c r="I14" s="34"/>
      <c r="J14" s="34"/>
      <c r="K14" s="34"/>
    </row>
    <row r="15" spans="1:19" ht="120">
      <c r="A15" s="34"/>
      <c r="B15" s="34" t="s">
        <v>0</v>
      </c>
      <c r="C15" s="4" t="s">
        <v>10</v>
      </c>
      <c r="D15" s="4" t="s">
        <v>11</v>
      </c>
      <c r="E15" s="4" t="s">
        <v>30</v>
      </c>
      <c r="F15" s="4" t="s">
        <v>29</v>
      </c>
      <c r="G15" s="4"/>
      <c r="H15" s="4" t="s">
        <v>14</v>
      </c>
      <c r="I15" s="34" t="s">
        <v>1</v>
      </c>
      <c r="J15" s="4" t="s">
        <v>2</v>
      </c>
      <c r="K15" s="4" t="s">
        <v>12</v>
      </c>
      <c r="L15" s="34" t="s">
        <v>53</v>
      </c>
      <c r="M15" s="34" t="s">
        <v>54</v>
      </c>
      <c r="N15" s="1"/>
      <c r="O15" s="54" t="s">
        <v>48</v>
      </c>
      <c r="P15" s="54"/>
      <c r="Q15" s="54"/>
      <c r="R15" s="54"/>
      <c r="S15" s="54"/>
    </row>
    <row r="16" spans="1:19" ht="35" customHeight="1">
      <c r="A16" s="1"/>
      <c r="B16" s="1"/>
      <c r="C16" s="1"/>
      <c r="D16" s="1"/>
      <c r="E16" s="2">
        <v>14.1</v>
      </c>
      <c r="F16" s="2">
        <v>7.0900000000000005E-2</v>
      </c>
      <c r="G16" s="2"/>
      <c r="H16" s="1"/>
      <c r="I16" s="1"/>
      <c r="J16" s="1"/>
      <c r="K16" s="12" t="s">
        <v>16</v>
      </c>
      <c r="L16" s="1"/>
      <c r="M16" s="1"/>
      <c r="N16" s="2"/>
      <c r="O16" s="35"/>
    </row>
    <row r="17" spans="1:19" ht="20">
      <c r="A17" s="2"/>
      <c r="B17" s="2" t="s">
        <v>15</v>
      </c>
      <c r="C17" s="2"/>
      <c r="D17" s="2"/>
      <c r="E17" s="2"/>
      <c r="F17" s="2"/>
      <c r="G17" s="2"/>
      <c r="H17" s="2"/>
      <c r="I17" s="2"/>
      <c r="J17" s="24">
        <f>'Calabration Bomb2'!H10</f>
        <v>534.08756697832382</v>
      </c>
      <c r="K17" s="2">
        <f>'Calabration Bomb2'!I5</f>
        <v>6318.4</v>
      </c>
      <c r="L17" s="35"/>
      <c r="M17" s="1"/>
      <c r="N17" s="19"/>
      <c r="O17" s="20"/>
      <c r="P17" s="21"/>
      <c r="Q17" s="21"/>
      <c r="R17" s="21"/>
      <c r="S17" s="21"/>
    </row>
    <row r="18" spans="1:19" ht="20">
      <c r="A18" s="2"/>
      <c r="B18" s="2"/>
      <c r="C18" s="2"/>
      <c r="D18" s="2"/>
      <c r="E18" s="34" t="s">
        <v>31</v>
      </c>
      <c r="F18" s="2"/>
      <c r="G18" s="2"/>
      <c r="H18" s="2"/>
      <c r="I18" s="2"/>
      <c r="J18" s="2"/>
      <c r="K18" s="2"/>
      <c r="L18" s="34"/>
      <c r="M18" s="34"/>
      <c r="N18" s="22"/>
      <c r="O18" s="22" t="s">
        <v>23</v>
      </c>
      <c r="P18" s="22" t="s">
        <v>22</v>
      </c>
      <c r="Q18" s="22" t="s">
        <v>24</v>
      </c>
      <c r="R18" s="22" t="s">
        <v>22</v>
      </c>
      <c r="S18" s="22" t="s">
        <v>8</v>
      </c>
    </row>
    <row r="19" spans="1:19" s="8" customFormat="1" ht="20">
      <c r="A19" s="7"/>
      <c r="B19" s="7" t="s">
        <v>55</v>
      </c>
      <c r="C19" s="7">
        <v>7.5960000000000003E-3</v>
      </c>
      <c r="D19" s="7">
        <v>3.3610000000000001E-2</v>
      </c>
      <c r="E19" s="7">
        <v>0.5</v>
      </c>
      <c r="F19" s="38">
        <f t="shared" ref="F19:F24" si="0">E19*$E$16*$F$16</f>
        <v>0.49984500000000004</v>
      </c>
      <c r="G19" s="38"/>
      <c r="H19" s="38">
        <f t="shared" ref="H19:H24" si="1">S19</f>
        <v>15.270919999999998</v>
      </c>
      <c r="I19" s="7">
        <v>0.46560000000000001</v>
      </c>
      <c r="J19" s="7"/>
      <c r="K19" s="36">
        <f t="shared" ref="K19:K24" si="2">((I19)*(J$17)-H19-F19-(K$17)*(D19))/C19</f>
        <v>2703.9207721310668</v>
      </c>
      <c r="L19" s="36">
        <f>K19*$E$3</f>
        <v>11313.204510596384</v>
      </c>
      <c r="M19" s="36">
        <f>L19/1000</f>
        <v>11.313204510596384</v>
      </c>
      <c r="N19" s="28"/>
      <c r="O19" s="21">
        <v>1.4848399999999999E-2</v>
      </c>
      <c r="P19" s="21">
        <f>O19*1400</f>
        <v>20.787759999999999</v>
      </c>
      <c r="Q19" s="21">
        <v>3.9405999999999998E-3</v>
      </c>
      <c r="R19" s="21">
        <f>Q19*1400</f>
        <v>5.5168400000000002</v>
      </c>
      <c r="S19" s="21">
        <f>P19-R19</f>
        <v>15.270919999999998</v>
      </c>
    </row>
    <row r="20" spans="1:19" s="8" customFormat="1" ht="20">
      <c r="A20" s="7"/>
      <c r="B20" s="7" t="s">
        <v>55</v>
      </c>
      <c r="C20" s="7">
        <v>6.1825999999999999E-3</v>
      </c>
      <c r="D20" s="7">
        <v>3.2296499999999999E-2</v>
      </c>
      <c r="E20" s="7">
        <v>0.45</v>
      </c>
      <c r="F20" s="38">
        <f t="shared" si="0"/>
        <v>0.4498605</v>
      </c>
      <c r="G20" s="38"/>
      <c r="H20" s="38">
        <f t="shared" si="1"/>
        <v>15.392859999999999</v>
      </c>
      <c r="I20" s="7">
        <v>0.44119999999999998</v>
      </c>
      <c r="J20" s="14"/>
      <c r="K20" s="36">
        <f t="shared" si="2"/>
        <v>2544.9662683719589</v>
      </c>
      <c r="L20" s="36">
        <f t="shared" ref="L20:L23" si="3">K20*$E$3</f>
        <v>10648.138866868276</v>
      </c>
      <c r="M20" s="36">
        <f t="shared" ref="M20:M23" si="4">L20/1000</f>
        <v>10.648138866868276</v>
      </c>
      <c r="N20" s="28"/>
      <c r="O20" s="21">
        <v>1.47122E-2</v>
      </c>
      <c r="P20" s="21">
        <f t="shared" ref="P20:P23" si="5">O20*1400</f>
        <v>20.597079999999998</v>
      </c>
      <c r="Q20" s="21">
        <v>3.7173000000000002E-3</v>
      </c>
      <c r="R20" s="21">
        <f t="shared" ref="R20:R23" si="6">Q20*1400</f>
        <v>5.2042200000000003</v>
      </c>
      <c r="S20" s="21">
        <f t="shared" ref="S20:S23" si="7">P20-R20</f>
        <v>15.392859999999999</v>
      </c>
    </row>
    <row r="21" spans="1:19" s="8" customFormat="1" ht="20">
      <c r="A21" s="7"/>
      <c r="B21" s="7" t="s">
        <v>55</v>
      </c>
      <c r="C21" s="7">
        <v>6.4368999999999997E-3</v>
      </c>
      <c r="D21" s="7">
        <v>3.25919E-2</v>
      </c>
      <c r="E21" s="7">
        <v>0.45</v>
      </c>
      <c r="F21" s="38">
        <f t="shared" si="0"/>
        <v>0.4498605</v>
      </c>
      <c r="G21" s="38"/>
      <c r="H21" s="38">
        <f t="shared" si="1"/>
        <v>14.314859999999999</v>
      </c>
      <c r="I21" s="30">
        <v>0.44529999999999997</v>
      </c>
      <c r="J21" s="7"/>
      <c r="K21" s="36">
        <f t="shared" si="2"/>
        <v>2662.1218467659246</v>
      </c>
      <c r="L21" s="36">
        <f t="shared" si="3"/>
        <v>11138.317806868628</v>
      </c>
      <c r="M21" s="36">
        <f t="shared" si="4"/>
        <v>11.138317806868628</v>
      </c>
      <c r="N21" s="28"/>
      <c r="O21" s="23">
        <v>1.4800199999999999E-2</v>
      </c>
      <c r="P21" s="21">
        <f t="shared" si="5"/>
        <v>20.720279999999999</v>
      </c>
      <c r="Q21" s="21">
        <v>4.5753E-3</v>
      </c>
      <c r="R21" s="21">
        <f t="shared" si="6"/>
        <v>6.4054200000000003</v>
      </c>
      <c r="S21" s="21">
        <f t="shared" si="7"/>
        <v>14.314859999999999</v>
      </c>
    </row>
    <row r="22" spans="1:19" s="8" customFormat="1" ht="20">
      <c r="A22" s="7"/>
      <c r="B22" s="7" t="s">
        <v>56</v>
      </c>
      <c r="C22" s="7">
        <v>7.2106000000000002E-3</v>
      </c>
      <c r="D22" s="7">
        <v>3.3953999999999998E-2</v>
      </c>
      <c r="E22" s="7">
        <v>0.45</v>
      </c>
      <c r="F22" s="38">
        <f t="shared" si="0"/>
        <v>0.4498605</v>
      </c>
      <c r="G22" s="38"/>
      <c r="H22" s="38">
        <f t="shared" si="1"/>
        <v>15.7773</v>
      </c>
      <c r="I22" s="7">
        <v>0.46689999999999998</v>
      </c>
      <c r="J22" s="7"/>
      <c r="K22" s="36">
        <f t="shared" si="2"/>
        <v>2580.0031789558993</v>
      </c>
      <c r="L22" s="36">
        <f t="shared" si="3"/>
        <v>10794.733300751483</v>
      </c>
      <c r="M22" s="36">
        <f t="shared" si="4"/>
        <v>10.794733300751483</v>
      </c>
      <c r="N22" s="32"/>
      <c r="O22" s="18">
        <v>1.5089699999999999E-2</v>
      </c>
      <c r="P22" s="31">
        <f t="shared" si="5"/>
        <v>21.125579999999999</v>
      </c>
      <c r="Q22" s="31">
        <v>3.8202000000000002E-3</v>
      </c>
      <c r="R22" s="31">
        <f t="shared" si="6"/>
        <v>5.3482799999999999</v>
      </c>
      <c r="S22" s="31">
        <f t="shared" si="7"/>
        <v>15.7773</v>
      </c>
    </row>
    <row r="23" spans="1:19" s="8" customFormat="1" ht="20">
      <c r="A23" s="7"/>
      <c r="B23" s="7" t="s">
        <v>56</v>
      </c>
      <c r="C23" s="7">
        <v>6.9192000000000004E-3</v>
      </c>
      <c r="D23" s="7">
        <v>3.1882800000000003E-2</v>
      </c>
      <c r="E23" s="7">
        <v>0.45</v>
      </c>
      <c r="F23" s="38">
        <f t="shared" si="0"/>
        <v>0.4498605</v>
      </c>
      <c r="G23" s="38"/>
      <c r="H23" s="38">
        <f t="shared" si="1"/>
        <v>15.26812</v>
      </c>
      <c r="I23" s="7">
        <v>0.43930000000000002</v>
      </c>
      <c r="J23" s="7"/>
      <c r="K23" s="36">
        <f t="shared" si="2"/>
        <v>2523.1824710338833</v>
      </c>
      <c r="L23" s="36">
        <f t="shared" si="3"/>
        <v>10556.995458805768</v>
      </c>
      <c r="M23" s="36">
        <f t="shared" si="4"/>
        <v>10.556995458805767</v>
      </c>
      <c r="N23" s="21"/>
      <c r="O23" s="18">
        <v>1.4554599999999999E-2</v>
      </c>
      <c r="P23" s="21">
        <f t="shared" si="5"/>
        <v>20.376439999999999</v>
      </c>
      <c r="Q23" s="31">
        <v>3.6487999999999998E-3</v>
      </c>
      <c r="R23" s="21">
        <f t="shared" si="6"/>
        <v>5.10832</v>
      </c>
      <c r="S23" s="21">
        <f t="shared" si="7"/>
        <v>15.26812</v>
      </c>
    </row>
    <row r="24" spans="1:19" ht="20">
      <c r="A24" s="2"/>
      <c r="B24" s="7" t="s">
        <v>56</v>
      </c>
      <c r="C24" s="7">
        <v>6.7239999999999999E-3</v>
      </c>
      <c r="D24" s="7">
        <v>3.2634400000000001E-2</v>
      </c>
      <c r="E24" s="7">
        <v>0.45</v>
      </c>
      <c r="F24" s="38">
        <f t="shared" si="0"/>
        <v>0.4498605</v>
      </c>
      <c r="G24" s="38"/>
      <c r="H24" s="38">
        <f t="shared" si="1"/>
        <v>14.88256</v>
      </c>
      <c r="I24" s="7">
        <v>0.44769999999999999</v>
      </c>
      <c r="J24" s="7"/>
      <c r="K24" s="36">
        <f t="shared" si="2"/>
        <v>2614.7219328071906</v>
      </c>
      <c r="L24" s="36">
        <f t="shared" ref="L24" si="8">K24*$E$3</f>
        <v>10939.996566865286</v>
      </c>
      <c r="M24" s="36">
        <f t="shared" ref="M24" si="9">L24/1000</f>
        <v>10.939996566865286</v>
      </c>
      <c r="N24" s="21"/>
      <c r="O24" s="18">
        <v>1.47908E-2</v>
      </c>
      <c r="P24" s="21">
        <f t="shared" ref="P24" si="10">O24*1400</f>
        <v>20.70712</v>
      </c>
      <c r="Q24" s="31">
        <v>4.1603999999999999E-3</v>
      </c>
      <c r="R24" s="21">
        <f t="shared" ref="R24" si="11">Q24*1400</f>
        <v>5.82456</v>
      </c>
      <c r="S24" s="21">
        <f t="shared" ref="S24" si="12">P24-R24</f>
        <v>14.88256</v>
      </c>
    </row>
    <row r="25" spans="1:19" ht="20">
      <c r="A25" s="2"/>
      <c r="B25" s="7"/>
      <c r="C25" s="7"/>
      <c r="D25" s="7"/>
      <c r="E25" s="7"/>
      <c r="F25" s="2"/>
      <c r="G25" s="2"/>
      <c r="H25" s="2"/>
      <c r="I25" s="2"/>
      <c r="J25" s="2"/>
      <c r="K25" s="2"/>
    </row>
    <row r="26" spans="1:19" ht="20">
      <c r="A26" s="2"/>
      <c r="B26" s="2"/>
      <c r="C26" s="2"/>
      <c r="D26" s="2"/>
      <c r="E26" s="2"/>
      <c r="F26" s="2"/>
      <c r="G26" s="2"/>
      <c r="H26" s="2"/>
      <c r="I26" s="34" t="s">
        <v>58</v>
      </c>
      <c r="J26" s="2" t="s">
        <v>52</v>
      </c>
      <c r="K26" s="37">
        <f>AVERAGE(K19:K21)</f>
        <v>2637.0029624229833</v>
      </c>
      <c r="L26" s="37">
        <f>AVERAGE(L19:L21)</f>
        <v>11033.220394777765</v>
      </c>
      <c r="M26" s="37">
        <f>AVERAGE(M19:M21)</f>
        <v>11.033220394777763</v>
      </c>
    </row>
    <row r="27" spans="1:19" ht="20">
      <c r="A27" s="2"/>
      <c r="B27" s="2"/>
      <c r="C27" s="2"/>
      <c r="D27" s="2"/>
      <c r="E27" s="2"/>
      <c r="F27" s="2"/>
      <c r="G27" s="2"/>
      <c r="H27" s="2"/>
      <c r="I27" s="2"/>
      <c r="J27" s="2" t="s">
        <v>6</v>
      </c>
      <c r="K27" s="37">
        <f>STDEV(K19:K21)</f>
        <v>82.400560248711898</v>
      </c>
      <c r="L27" s="37">
        <f>STDEV(L19:L21)</f>
        <v>344.76394408061117</v>
      </c>
      <c r="M27" s="37">
        <f>STDEV(M19:M21)</f>
        <v>0.34476394408061056</v>
      </c>
    </row>
    <row r="28" spans="1:19" ht="20">
      <c r="A28" s="2"/>
      <c r="B28" s="2"/>
      <c r="C28" s="2"/>
      <c r="D28" s="2"/>
      <c r="E28" s="2"/>
      <c r="F28" s="2"/>
      <c r="G28" s="2"/>
      <c r="H28" s="2"/>
      <c r="I28" s="2"/>
      <c r="J28" s="2" t="s">
        <v>5</v>
      </c>
      <c r="K28" s="6">
        <f>K27/K26</f>
        <v>3.1247807235301316E-2</v>
      </c>
      <c r="L28" s="6">
        <f>L27/L26</f>
        <v>3.1247807235301357E-2</v>
      </c>
      <c r="M28" s="6">
        <f>M27/M26</f>
        <v>3.1247807235301312E-2</v>
      </c>
    </row>
    <row r="29" spans="1:19" ht="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1"/>
    </row>
    <row r="30" spans="1:19" ht="20">
      <c r="A30" s="2"/>
      <c r="B30" s="2"/>
      <c r="C30" s="2"/>
      <c r="D30" s="2"/>
      <c r="E30" s="2"/>
      <c r="F30" s="2"/>
      <c r="G30" s="2"/>
      <c r="H30" s="2"/>
      <c r="I30" s="34" t="s">
        <v>57</v>
      </c>
      <c r="J30" s="2" t="s">
        <v>52</v>
      </c>
      <c r="K30" s="37">
        <f>AVERAGE(K22:K23)</f>
        <v>2551.5928249948911</v>
      </c>
      <c r="L30" s="37">
        <f>AVERAGE(L22:L23)</f>
        <v>10675.864379778624</v>
      </c>
      <c r="M30" s="37">
        <f>AVERAGE(M22:M23)</f>
        <v>10.675864379778625</v>
      </c>
    </row>
    <row r="31" spans="1:19" ht="20">
      <c r="A31" s="2"/>
      <c r="B31" s="2"/>
      <c r="C31" s="2"/>
      <c r="D31" s="2"/>
      <c r="E31" s="2"/>
      <c r="F31" s="2"/>
      <c r="G31" s="2"/>
      <c r="H31" s="2"/>
      <c r="I31" s="2"/>
      <c r="J31" s="2" t="s">
        <v>6</v>
      </c>
      <c r="K31" s="37">
        <f>STDEV(K22:K24)</f>
        <v>46.212295945798502</v>
      </c>
      <c r="L31" s="37">
        <f>STDEV(L22:L24)</f>
        <v>193.35224623722095</v>
      </c>
      <c r="M31" s="37">
        <f>STDEV(M22:M24)</f>
        <v>0.19335224623722155</v>
      </c>
    </row>
    <row r="32" spans="1:19" ht="20">
      <c r="A32" s="2"/>
      <c r="B32" s="2"/>
      <c r="C32" s="2"/>
      <c r="D32" s="2"/>
      <c r="E32" s="2"/>
      <c r="F32" s="2"/>
      <c r="G32" s="2"/>
      <c r="H32" s="2"/>
      <c r="I32" s="2"/>
      <c r="J32" s="2" t="s">
        <v>5</v>
      </c>
      <c r="K32" s="6">
        <f>K31/K30</f>
        <v>1.8111156095562006E-2</v>
      </c>
      <c r="L32" s="6">
        <f>L31/L30</f>
        <v>1.8111156095562009E-2</v>
      </c>
      <c r="M32" s="6">
        <f>M31/M30</f>
        <v>1.8111156095562062E-2</v>
      </c>
    </row>
    <row r="33" spans="1:13" ht="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</row>
    <row r="34" spans="1:13" ht="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</row>
    <row r="35" spans="1:13" ht="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</row>
    <row r="36" spans="1:13" ht="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</row>
    <row r="37" spans="1:13" ht="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</row>
    <row r="38" spans="1:13" ht="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3">
    <mergeCell ref="A1:B1"/>
    <mergeCell ref="A14:B14"/>
    <mergeCell ref="O15:S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S50"/>
  <sheetViews>
    <sheetView zoomScale="125" zoomScaleNormal="125" zoomScalePageLayoutView="125" workbookViewId="0">
      <selection activeCell="B28" sqref="B28"/>
    </sheetView>
  </sheetViews>
  <sheetFormatPr baseColWidth="10" defaultRowHeight="15" x14ac:dyDescent="0"/>
  <cols>
    <col min="1" max="1" width="19.1640625" customWidth="1"/>
    <col min="2" max="2" width="21.6640625" customWidth="1"/>
    <col min="3" max="4" width="14" customWidth="1"/>
    <col min="5" max="5" width="15.83203125" customWidth="1"/>
    <col min="6" max="8" width="14" customWidth="1"/>
    <col min="9" max="9" width="23.5" customWidth="1"/>
    <col min="10" max="10" width="15.83203125" customWidth="1"/>
    <col min="11" max="11" width="17.33203125" customWidth="1"/>
    <col min="12" max="13" width="14.5" bestFit="1" customWidth="1"/>
  </cols>
  <sheetData>
    <row r="1" spans="1:19">
      <c r="A1" s="55" t="s">
        <v>35</v>
      </c>
      <c r="B1" s="53"/>
      <c r="C1" s="43"/>
      <c r="D1" s="43" t="s">
        <v>42</v>
      </c>
      <c r="E1" s="44"/>
    </row>
    <row r="2" spans="1:19">
      <c r="A2" s="39" t="s">
        <v>36</v>
      </c>
      <c r="B2" s="41" t="s">
        <v>46</v>
      </c>
      <c r="C2" s="45"/>
      <c r="D2" s="45" t="s">
        <v>22</v>
      </c>
      <c r="E2" s="45" t="s">
        <v>41</v>
      </c>
    </row>
    <row r="3" spans="1:19">
      <c r="A3" s="40">
        <v>122.12130000000001</v>
      </c>
      <c r="B3" s="47">
        <f>((A5*E3)/1000)*A3</f>
        <v>3228.4213525132805</v>
      </c>
      <c r="C3" s="46"/>
      <c r="D3" s="46">
        <v>1</v>
      </c>
      <c r="E3" s="46">
        <v>4.1840000000000002</v>
      </c>
    </row>
    <row r="4" spans="1:19">
      <c r="A4" s="41" t="s">
        <v>37</v>
      </c>
      <c r="B4" s="41" t="s">
        <v>47</v>
      </c>
      <c r="C4" s="45" t="s">
        <v>45</v>
      </c>
    </row>
    <row r="5" spans="1:19">
      <c r="A5" s="42">
        <v>6318.4</v>
      </c>
      <c r="B5" s="42">
        <v>3228.29</v>
      </c>
      <c r="C5" s="46" t="s">
        <v>44</v>
      </c>
    </row>
    <row r="6" spans="1:19">
      <c r="A6" s="41" t="s">
        <v>40</v>
      </c>
    </row>
    <row r="7" spans="1:19">
      <c r="A7" s="42">
        <v>6323</v>
      </c>
    </row>
    <row r="8" spans="1:19">
      <c r="A8" s="41" t="s">
        <v>38</v>
      </c>
    </row>
    <row r="9" spans="1:19">
      <c r="A9" s="42">
        <v>11373</v>
      </c>
    </row>
    <row r="10" spans="1:19">
      <c r="A10" s="39" t="s">
        <v>39</v>
      </c>
    </row>
    <row r="11" spans="1:19">
      <c r="A11" s="42">
        <v>26.452999999999999</v>
      </c>
    </row>
    <row r="12" spans="1:19">
      <c r="A12" s="41" t="s">
        <v>43</v>
      </c>
    </row>
    <row r="13" spans="1:19">
      <c r="A13" s="42">
        <v>3228.29</v>
      </c>
    </row>
    <row r="14" spans="1:19" ht="61" customHeight="1">
      <c r="A14" s="52" t="s">
        <v>32</v>
      </c>
      <c r="B14" s="53"/>
      <c r="C14" s="49"/>
      <c r="D14" s="49"/>
      <c r="E14" s="49"/>
      <c r="F14" s="49"/>
      <c r="G14" s="49"/>
      <c r="H14" s="49"/>
      <c r="I14" s="49"/>
      <c r="J14" s="49"/>
      <c r="K14" s="49"/>
    </row>
    <row r="15" spans="1:19" ht="120">
      <c r="A15" s="49"/>
      <c r="B15" s="49" t="s">
        <v>0</v>
      </c>
      <c r="C15" s="4" t="s">
        <v>10</v>
      </c>
      <c r="D15" s="4" t="s">
        <v>11</v>
      </c>
      <c r="E15" s="4" t="s">
        <v>30</v>
      </c>
      <c r="F15" s="4" t="s">
        <v>29</v>
      </c>
      <c r="G15" s="4"/>
      <c r="H15" s="4" t="s">
        <v>14</v>
      </c>
      <c r="I15" s="49" t="s">
        <v>1</v>
      </c>
      <c r="J15" s="4" t="s">
        <v>2</v>
      </c>
      <c r="K15" s="4" t="s">
        <v>12</v>
      </c>
      <c r="L15" s="49" t="s">
        <v>53</v>
      </c>
      <c r="M15" s="49" t="s">
        <v>54</v>
      </c>
      <c r="N15" s="1"/>
      <c r="O15" s="54" t="s">
        <v>48</v>
      </c>
      <c r="P15" s="54"/>
      <c r="Q15" s="54"/>
      <c r="R15" s="54"/>
      <c r="S15" s="54"/>
    </row>
    <row r="16" spans="1:19" ht="35" customHeight="1">
      <c r="A16" s="1"/>
      <c r="B16" s="1"/>
      <c r="C16" s="1"/>
      <c r="D16" s="1"/>
      <c r="E16" s="2">
        <v>14.1</v>
      </c>
      <c r="F16" s="2">
        <v>7.0900000000000005E-2</v>
      </c>
      <c r="G16" s="2"/>
      <c r="H16" s="1"/>
      <c r="I16" s="1"/>
      <c r="J16" s="1"/>
      <c r="K16" s="12" t="s">
        <v>16</v>
      </c>
      <c r="L16" s="1"/>
      <c r="M16" s="1"/>
      <c r="N16" s="2"/>
      <c r="O16" s="50"/>
    </row>
    <row r="17" spans="1:19" ht="20">
      <c r="A17" s="2"/>
      <c r="B17" s="2" t="s">
        <v>15</v>
      </c>
      <c r="C17" s="2"/>
      <c r="D17" s="2"/>
      <c r="E17" s="2"/>
      <c r="F17" s="2"/>
      <c r="G17" s="2"/>
      <c r="H17" s="2"/>
      <c r="I17" s="2"/>
      <c r="J17" s="24">
        <f>'Calabration Bomb2'!H10</f>
        <v>534.08756697832382</v>
      </c>
      <c r="K17" s="2">
        <f>'Calabration Bomb2'!I5</f>
        <v>6318.4</v>
      </c>
      <c r="L17" s="50"/>
      <c r="M17" s="1"/>
      <c r="N17" s="19"/>
      <c r="O17" s="20"/>
      <c r="P17" s="21"/>
      <c r="Q17" s="21"/>
      <c r="R17" s="21"/>
      <c r="S17" s="21"/>
    </row>
    <row r="18" spans="1:19" ht="20">
      <c r="A18" s="2"/>
      <c r="B18" s="2"/>
      <c r="C18" s="2"/>
      <c r="D18" s="2"/>
      <c r="E18" s="49" t="s">
        <v>31</v>
      </c>
      <c r="F18" s="2"/>
      <c r="G18" s="2"/>
      <c r="H18" s="2"/>
      <c r="I18" s="2"/>
      <c r="J18" s="2"/>
      <c r="K18" s="2"/>
      <c r="L18" s="49"/>
      <c r="M18" s="49"/>
      <c r="N18" s="22"/>
      <c r="O18" s="22" t="s">
        <v>23</v>
      </c>
      <c r="P18" s="22" t="s">
        <v>22</v>
      </c>
      <c r="Q18" s="22" t="s">
        <v>24</v>
      </c>
      <c r="R18" s="22" t="s">
        <v>22</v>
      </c>
      <c r="S18" s="22" t="s">
        <v>8</v>
      </c>
    </row>
    <row r="19" spans="1:19" s="8" customFormat="1" ht="20">
      <c r="A19" s="7"/>
      <c r="B19" s="7" t="s">
        <v>55</v>
      </c>
      <c r="C19" s="7">
        <v>7.5960000000000003E-3</v>
      </c>
      <c r="D19" s="7">
        <v>3.3610000000000001E-2</v>
      </c>
      <c r="E19" s="7">
        <v>0</v>
      </c>
      <c r="F19" s="38">
        <f t="shared" ref="F19:F24" si="0">E19*$E$16*$F$16</f>
        <v>0</v>
      </c>
      <c r="G19" s="38"/>
      <c r="H19" s="38">
        <f t="shared" ref="H19:H24" si="1">S19</f>
        <v>15.270919999999998</v>
      </c>
      <c r="I19" s="7">
        <v>0.46560000000000001</v>
      </c>
      <c r="J19" s="7"/>
      <c r="K19" s="36">
        <f t="shared" ref="K19:K24" si="2">((I19)*(J$17)-H19-F19-(K$17)*(D19))/C19</f>
        <v>2769.724484611319</v>
      </c>
      <c r="L19" s="36">
        <f>K19*$E$3</f>
        <v>11588.527243613758</v>
      </c>
      <c r="M19" s="36">
        <f>L19/1000</f>
        <v>11.588527243613758</v>
      </c>
      <c r="N19" s="28"/>
      <c r="O19" s="21">
        <v>1.4848399999999999E-2</v>
      </c>
      <c r="P19" s="21">
        <f>O19*1400</f>
        <v>20.787759999999999</v>
      </c>
      <c r="Q19" s="21">
        <v>3.9405999999999998E-3</v>
      </c>
      <c r="R19" s="21">
        <f>Q19*1400</f>
        <v>5.5168400000000002</v>
      </c>
      <c r="S19" s="21">
        <f>P19-R19</f>
        <v>15.270919999999998</v>
      </c>
    </row>
    <row r="20" spans="1:19" s="8" customFormat="1" ht="20">
      <c r="A20" s="7"/>
      <c r="B20" s="7" t="s">
        <v>55</v>
      </c>
      <c r="C20" s="7">
        <v>6.1825999999999999E-3</v>
      </c>
      <c r="D20" s="7">
        <v>3.2296499999999999E-2</v>
      </c>
      <c r="E20" s="7">
        <v>0</v>
      </c>
      <c r="F20" s="38">
        <f t="shared" si="0"/>
        <v>0</v>
      </c>
      <c r="G20" s="38"/>
      <c r="H20" s="38">
        <f t="shared" si="1"/>
        <v>15.392859999999999</v>
      </c>
      <c r="I20" s="7">
        <v>0.44119999999999998</v>
      </c>
      <c r="J20" s="14"/>
      <c r="K20" s="36">
        <f t="shared" si="2"/>
        <v>2617.7286175454456</v>
      </c>
      <c r="L20" s="36">
        <f t="shared" ref="L20:L24" si="3">K20*$E$3</f>
        <v>10952.576535810145</v>
      </c>
      <c r="M20" s="36">
        <f t="shared" ref="M20:M24" si="4">L20/1000</f>
        <v>10.952576535810145</v>
      </c>
      <c r="N20" s="28"/>
      <c r="O20" s="21">
        <v>1.47122E-2</v>
      </c>
      <c r="P20" s="21">
        <f t="shared" ref="P20:P24" si="5">O20*1400</f>
        <v>20.597079999999998</v>
      </c>
      <c r="Q20" s="21">
        <v>3.7173000000000002E-3</v>
      </c>
      <c r="R20" s="21">
        <f t="shared" ref="R20:R24" si="6">Q20*1400</f>
        <v>5.2042200000000003</v>
      </c>
      <c r="S20" s="21">
        <f t="shared" ref="S20:S24" si="7">P20-R20</f>
        <v>15.392859999999999</v>
      </c>
    </row>
    <row r="21" spans="1:19" s="8" customFormat="1" ht="20">
      <c r="A21" s="7"/>
      <c r="B21" s="7" t="s">
        <v>55</v>
      </c>
      <c r="C21" s="7">
        <v>6.4368999999999997E-3</v>
      </c>
      <c r="D21" s="7">
        <v>3.25919E-2</v>
      </c>
      <c r="E21" s="7">
        <v>0</v>
      </c>
      <c r="F21" s="38">
        <f t="shared" si="0"/>
        <v>0</v>
      </c>
      <c r="G21" s="38"/>
      <c r="H21" s="38">
        <f t="shared" si="1"/>
        <v>14.314859999999999</v>
      </c>
      <c r="I21" s="30">
        <v>0.44529999999999997</v>
      </c>
      <c r="J21" s="7"/>
      <c r="K21" s="36">
        <f t="shared" si="2"/>
        <v>2732.0096032946881</v>
      </c>
      <c r="L21" s="36">
        <f t="shared" si="3"/>
        <v>11430.728180184975</v>
      </c>
      <c r="M21" s="36">
        <f t="shared" si="4"/>
        <v>11.430728180184975</v>
      </c>
      <c r="N21" s="28"/>
      <c r="O21" s="23">
        <v>1.4800199999999999E-2</v>
      </c>
      <c r="P21" s="21">
        <f t="shared" si="5"/>
        <v>20.720279999999999</v>
      </c>
      <c r="Q21" s="21">
        <v>4.5753E-3</v>
      </c>
      <c r="R21" s="21">
        <f t="shared" si="6"/>
        <v>6.4054200000000003</v>
      </c>
      <c r="S21" s="21">
        <f t="shared" si="7"/>
        <v>14.314859999999999</v>
      </c>
    </row>
    <row r="22" spans="1:19" s="8" customFormat="1" ht="20">
      <c r="A22" s="7"/>
      <c r="B22" s="7" t="s">
        <v>56</v>
      </c>
      <c r="C22" s="7">
        <v>7.2106000000000002E-3</v>
      </c>
      <c r="D22" s="7">
        <v>3.3953999999999998E-2</v>
      </c>
      <c r="E22" s="7">
        <v>0</v>
      </c>
      <c r="F22" s="38">
        <f t="shared" si="0"/>
        <v>0</v>
      </c>
      <c r="G22" s="38"/>
      <c r="H22" s="38">
        <f t="shared" si="1"/>
        <v>15.7773</v>
      </c>
      <c r="I22" s="7">
        <v>0.46689999999999998</v>
      </c>
      <c r="J22" s="7"/>
      <c r="K22" s="36">
        <f t="shared" si="2"/>
        <v>2642.3919538151345</v>
      </c>
      <c r="L22" s="36">
        <f t="shared" si="3"/>
        <v>11055.767934762524</v>
      </c>
      <c r="M22" s="36">
        <f t="shared" si="4"/>
        <v>11.055767934762523</v>
      </c>
      <c r="N22" s="32"/>
      <c r="O22" s="18">
        <v>1.5089699999999999E-2</v>
      </c>
      <c r="P22" s="31">
        <f t="shared" si="5"/>
        <v>21.125579999999999</v>
      </c>
      <c r="Q22" s="31">
        <v>3.8202000000000002E-3</v>
      </c>
      <c r="R22" s="31">
        <f t="shared" si="6"/>
        <v>5.3482799999999999</v>
      </c>
      <c r="S22" s="31">
        <f t="shared" si="7"/>
        <v>15.7773</v>
      </c>
    </row>
    <row r="23" spans="1:19" s="8" customFormat="1" ht="20">
      <c r="A23" s="7"/>
      <c r="B23" s="7" t="s">
        <v>56</v>
      </c>
      <c r="C23" s="7">
        <v>6.9192000000000004E-3</v>
      </c>
      <c r="D23" s="7">
        <v>3.1882800000000003E-2</v>
      </c>
      <c r="E23" s="7">
        <v>0</v>
      </c>
      <c r="F23" s="38">
        <f t="shared" si="0"/>
        <v>0</v>
      </c>
      <c r="G23" s="38"/>
      <c r="H23" s="38">
        <f t="shared" si="1"/>
        <v>15.26812</v>
      </c>
      <c r="I23" s="7">
        <v>0.43930000000000002</v>
      </c>
      <c r="J23" s="7"/>
      <c r="K23" s="36">
        <f t="shared" si="2"/>
        <v>2588.1987301389822</v>
      </c>
      <c r="L23" s="36">
        <f t="shared" si="3"/>
        <v>10829.023486901502</v>
      </c>
      <c r="M23" s="36">
        <f t="shared" si="4"/>
        <v>10.829023486901502</v>
      </c>
      <c r="N23" s="21"/>
      <c r="O23" s="18">
        <v>1.4554599999999999E-2</v>
      </c>
      <c r="P23" s="21">
        <f t="shared" si="5"/>
        <v>20.376439999999999</v>
      </c>
      <c r="Q23" s="31">
        <v>3.6487999999999998E-3</v>
      </c>
      <c r="R23" s="21">
        <f t="shared" si="6"/>
        <v>5.10832</v>
      </c>
      <c r="S23" s="21">
        <f t="shared" si="7"/>
        <v>15.26812</v>
      </c>
    </row>
    <row r="24" spans="1:19" ht="20">
      <c r="A24" s="2"/>
      <c r="B24" s="7" t="s">
        <v>56</v>
      </c>
      <c r="C24" s="7">
        <v>6.7239999999999999E-3</v>
      </c>
      <c r="D24" s="7">
        <v>3.2634400000000001E-2</v>
      </c>
      <c r="E24" s="7">
        <v>0</v>
      </c>
      <c r="F24" s="38">
        <f t="shared" si="0"/>
        <v>0</v>
      </c>
      <c r="G24" s="38"/>
      <c r="H24" s="38">
        <f t="shared" si="1"/>
        <v>14.88256</v>
      </c>
      <c r="I24" s="7">
        <v>0.44769999999999999</v>
      </c>
      <c r="J24" s="7"/>
      <c r="K24" s="36">
        <f t="shared" si="2"/>
        <v>2681.6256359600757</v>
      </c>
      <c r="L24" s="36">
        <f t="shared" si="3"/>
        <v>11219.921660856957</v>
      </c>
      <c r="M24" s="36">
        <f t="shared" si="4"/>
        <v>11.219921660856956</v>
      </c>
      <c r="N24" s="21"/>
      <c r="O24" s="18">
        <v>1.47908E-2</v>
      </c>
      <c r="P24" s="21">
        <f t="shared" si="5"/>
        <v>20.70712</v>
      </c>
      <c r="Q24" s="31">
        <v>4.1603999999999999E-3</v>
      </c>
      <c r="R24" s="21">
        <f t="shared" si="6"/>
        <v>5.82456</v>
      </c>
      <c r="S24" s="21">
        <f t="shared" si="7"/>
        <v>14.88256</v>
      </c>
    </row>
    <row r="25" spans="1:19" ht="20">
      <c r="A25" s="2"/>
      <c r="B25" s="7"/>
      <c r="C25" s="7"/>
      <c r="D25" s="7"/>
      <c r="E25" s="7"/>
      <c r="F25" s="2"/>
      <c r="G25" s="2"/>
      <c r="H25" s="2"/>
      <c r="I25" s="2"/>
      <c r="J25" s="2"/>
      <c r="K25" s="2"/>
    </row>
    <row r="26" spans="1:19" ht="20">
      <c r="A26" s="2"/>
      <c r="B26" s="2"/>
      <c r="C26" s="2"/>
      <c r="D26" s="2"/>
      <c r="E26" s="2"/>
      <c r="F26" s="2"/>
      <c r="G26" s="2"/>
      <c r="H26" s="2"/>
      <c r="I26" s="49" t="s">
        <v>58</v>
      </c>
      <c r="J26" s="2" t="s">
        <v>52</v>
      </c>
      <c r="K26" s="37">
        <f>AVERAGE(K19:K21)</f>
        <v>2706.4875684838175</v>
      </c>
      <c r="L26" s="37">
        <f>AVERAGE(L19:L21)</f>
        <v>11323.943986536293</v>
      </c>
      <c r="M26" s="37">
        <f>AVERAGE(M19:M21)</f>
        <v>11.323943986536293</v>
      </c>
    </row>
    <row r="27" spans="1:19" ht="20">
      <c r="A27" s="2"/>
      <c r="B27" s="2"/>
      <c r="C27" s="2"/>
      <c r="D27" s="2"/>
      <c r="E27" s="2"/>
      <c r="F27" s="2"/>
      <c r="G27" s="2"/>
      <c r="H27" s="2"/>
      <c r="I27" s="2"/>
      <c r="J27" s="2" t="s">
        <v>6</v>
      </c>
      <c r="K27" s="37">
        <f>STDEV(K19:K21)</f>
        <v>79.14680408545965</v>
      </c>
      <c r="L27" s="37">
        <f>STDEV(L19:L21)</f>
        <v>331.15022829356246</v>
      </c>
      <c r="M27" s="37">
        <f>STDEV(M19:M21)</f>
        <v>0.33115022829356217</v>
      </c>
    </row>
    <row r="28" spans="1:19" ht="20">
      <c r="A28" s="2"/>
      <c r="B28" s="2"/>
      <c r="C28" s="2"/>
      <c r="D28" s="2"/>
      <c r="E28" s="2"/>
      <c r="F28" s="2"/>
      <c r="G28" s="2"/>
      <c r="H28" s="2"/>
      <c r="I28" s="2"/>
      <c r="J28" s="2" t="s">
        <v>5</v>
      </c>
      <c r="K28" s="6">
        <f>K27/K26</f>
        <v>2.9243365093229647E-2</v>
      </c>
      <c r="L28" s="6">
        <f>L27/L26</f>
        <v>2.9243365093229581E-2</v>
      </c>
      <c r="M28" s="6">
        <f>M27/M26</f>
        <v>2.9243365093229556E-2</v>
      </c>
    </row>
    <row r="29" spans="1:19" ht="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1"/>
    </row>
    <row r="30" spans="1:19" ht="20">
      <c r="A30" s="2"/>
      <c r="B30" s="2"/>
      <c r="C30" s="2"/>
      <c r="D30" s="2"/>
      <c r="E30" s="2"/>
      <c r="F30" s="2"/>
      <c r="G30" s="2"/>
      <c r="H30" s="2"/>
      <c r="I30" s="49" t="s">
        <v>57</v>
      </c>
      <c r="J30" s="2" t="s">
        <v>52</v>
      </c>
      <c r="K30" s="37">
        <f>AVERAGE(K22:K23)</f>
        <v>2615.2953419770583</v>
      </c>
      <c r="L30" s="37">
        <f>AVERAGE(L22:L23)</f>
        <v>10942.395710832014</v>
      </c>
      <c r="M30" s="37">
        <f>AVERAGE(M22:M23)</f>
        <v>10.942395710832013</v>
      </c>
    </row>
    <row r="31" spans="1:19" ht="20">
      <c r="A31" s="2"/>
      <c r="B31" s="2"/>
      <c r="C31" s="2"/>
      <c r="D31" s="2"/>
      <c r="E31" s="2"/>
      <c r="F31" s="2"/>
      <c r="G31" s="2"/>
      <c r="H31" s="2"/>
      <c r="I31" s="2"/>
      <c r="J31" s="2" t="s">
        <v>6</v>
      </c>
      <c r="K31" s="37">
        <f>STDEV(K22:K24)</f>
        <v>46.912638734793006</v>
      </c>
      <c r="L31" s="37">
        <f>STDEV(L22:L24)</f>
        <v>196.28248046637384</v>
      </c>
      <c r="M31" s="37">
        <f>STDEV(M22:M24)</f>
        <v>0.19628248046637373</v>
      </c>
    </row>
    <row r="32" spans="1:19" ht="20">
      <c r="A32" s="2"/>
      <c r="B32" s="2"/>
      <c r="C32" s="2"/>
      <c r="D32" s="2"/>
      <c r="E32" s="2"/>
      <c r="F32" s="2"/>
      <c r="G32" s="2"/>
      <c r="H32" s="2"/>
      <c r="I32" s="2"/>
      <c r="J32" s="2" t="s">
        <v>5</v>
      </c>
      <c r="K32" s="6">
        <f>K31/K30</f>
        <v>1.7937797686485738E-2</v>
      </c>
      <c r="L32" s="6">
        <f>L31/L30</f>
        <v>1.7937797686485728E-2</v>
      </c>
      <c r="M32" s="6">
        <f>M31/M30</f>
        <v>1.7937797686485717E-2</v>
      </c>
    </row>
    <row r="33" spans="1:13" ht="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</row>
    <row r="34" spans="1:13" ht="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</row>
    <row r="35" spans="1:13" ht="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</row>
    <row r="36" spans="1:13" ht="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</row>
    <row r="37" spans="1:13" ht="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</row>
    <row r="38" spans="1:13" ht="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3">
    <mergeCell ref="A1:B1"/>
    <mergeCell ref="A14:B14"/>
    <mergeCell ref="O15:S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Calabration Bomb2</vt:lpstr>
      <vt:lpstr>Benzoic &amp; PLK check standard</vt:lpstr>
      <vt:lpstr>sedtrap with correction</vt:lpstr>
      <vt:lpstr>sedtrap with no N correction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Grabowski</dc:creator>
  <cp:lastModifiedBy>Eric  Grabowski</cp:lastModifiedBy>
  <dcterms:created xsi:type="dcterms:W3CDTF">2013-05-31T22:07:55Z</dcterms:created>
  <dcterms:modified xsi:type="dcterms:W3CDTF">2019-03-21T13:17:05Z</dcterms:modified>
</cp:coreProperties>
</file>