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680" yWindow="300" windowWidth="23840" windowHeight="14240" tabRatio="500"/>
  </bookViews>
  <sheets>
    <sheet name="Calabration Bomb2" sheetId="5" r:id="rId1"/>
    <sheet name="Benzoic &amp; PLK check standard" sheetId="3" r:id="rId2"/>
    <sheet name="sedtrap with correction" sheetId="11" r:id="rId3"/>
    <sheet name="sedtrap with no N correction" sheetId="12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2" l="1"/>
  <c r="P19" i="12"/>
  <c r="R19" i="12"/>
  <c r="S19" i="12"/>
  <c r="H19" i="12"/>
  <c r="F19" i="12"/>
  <c r="K17" i="12"/>
  <c r="K19" i="12"/>
  <c r="L19" i="12"/>
  <c r="M19" i="12"/>
  <c r="P20" i="12"/>
  <c r="R20" i="12"/>
  <c r="S20" i="12"/>
  <c r="H20" i="12"/>
  <c r="F20" i="12"/>
  <c r="K20" i="12"/>
  <c r="L20" i="12"/>
  <c r="M20" i="12"/>
  <c r="P21" i="12"/>
  <c r="R21" i="12"/>
  <c r="S21" i="12"/>
  <c r="H21" i="12"/>
  <c r="F21" i="12"/>
  <c r="K21" i="12"/>
  <c r="L21" i="12"/>
  <c r="M21" i="12"/>
  <c r="M24" i="12"/>
  <c r="M23" i="12"/>
  <c r="M25" i="12"/>
  <c r="L24" i="12"/>
  <c r="L23" i="12"/>
  <c r="L25" i="12"/>
  <c r="K24" i="12"/>
  <c r="K23" i="12"/>
  <c r="K25" i="12"/>
  <c r="B3" i="12"/>
  <c r="W23" i="3"/>
  <c r="Y23" i="3"/>
  <c r="Z23" i="3"/>
  <c r="H23" i="3"/>
  <c r="F23" i="3"/>
  <c r="K23" i="3"/>
  <c r="Q23" i="3"/>
  <c r="R23" i="3"/>
  <c r="T23" i="3"/>
  <c r="S23" i="3"/>
  <c r="W20" i="3"/>
  <c r="Y20" i="3"/>
  <c r="Z20" i="3"/>
  <c r="H20" i="3"/>
  <c r="K20" i="3"/>
  <c r="P23" i="3"/>
  <c r="N23" i="3"/>
  <c r="O23" i="3"/>
  <c r="L23" i="3"/>
  <c r="M23" i="3"/>
  <c r="W22" i="3"/>
  <c r="Y22" i="3"/>
  <c r="Z22" i="3"/>
  <c r="H22" i="3"/>
  <c r="F22" i="3"/>
  <c r="K22" i="3"/>
  <c r="Q22" i="3"/>
  <c r="R22" i="3"/>
  <c r="T22" i="3"/>
  <c r="S22" i="3"/>
  <c r="P22" i="3"/>
  <c r="N22" i="3"/>
  <c r="O22" i="3"/>
  <c r="L22" i="3"/>
  <c r="M22" i="3"/>
  <c r="H11" i="5"/>
  <c r="H12" i="5"/>
  <c r="H10" i="5"/>
  <c r="N6" i="5"/>
  <c r="P6" i="5"/>
  <c r="Q6" i="5"/>
  <c r="F6" i="5"/>
  <c r="H6" i="5"/>
  <c r="I6" i="5"/>
  <c r="E6" i="5"/>
  <c r="N5" i="5"/>
  <c r="P5" i="5"/>
  <c r="Q5" i="5"/>
  <c r="F5" i="5"/>
  <c r="E5" i="5"/>
  <c r="H5" i="5"/>
  <c r="J17" i="3"/>
  <c r="F25" i="3"/>
  <c r="W25" i="3"/>
  <c r="Y25" i="3"/>
  <c r="Z25" i="3"/>
  <c r="H25" i="3"/>
  <c r="K25" i="3"/>
  <c r="Q25" i="3"/>
  <c r="R25" i="3"/>
  <c r="W26" i="3"/>
  <c r="Y26" i="3"/>
  <c r="Z26" i="3"/>
  <c r="H26" i="3"/>
  <c r="K26" i="3"/>
  <c r="Q26" i="3"/>
  <c r="R26" i="3"/>
  <c r="J17" i="11"/>
  <c r="I5" i="5"/>
  <c r="K17" i="11"/>
  <c r="P19" i="11"/>
  <c r="R19" i="11"/>
  <c r="S19" i="11"/>
  <c r="H19" i="11"/>
  <c r="F19" i="11"/>
  <c r="K19" i="11"/>
  <c r="L19" i="11"/>
  <c r="M19" i="11"/>
  <c r="P20" i="11"/>
  <c r="R20" i="11"/>
  <c r="S20" i="11"/>
  <c r="H20" i="11"/>
  <c r="F20" i="11"/>
  <c r="K20" i="11"/>
  <c r="L20" i="11"/>
  <c r="M20" i="11"/>
  <c r="P21" i="11"/>
  <c r="R21" i="11"/>
  <c r="S21" i="11"/>
  <c r="H21" i="11"/>
  <c r="F21" i="11"/>
  <c r="K21" i="11"/>
  <c r="L21" i="11"/>
  <c r="M21" i="11"/>
  <c r="M24" i="11"/>
  <c r="M23" i="11"/>
  <c r="M25" i="11"/>
  <c r="L24" i="11"/>
  <c r="L23" i="11"/>
  <c r="L25" i="11"/>
  <c r="K24" i="11"/>
  <c r="K23" i="11"/>
  <c r="K25" i="11"/>
  <c r="B3" i="11"/>
  <c r="F20" i="3"/>
  <c r="P20" i="3"/>
  <c r="W19" i="3"/>
  <c r="Y19" i="3"/>
  <c r="Z19" i="3"/>
  <c r="H19" i="3"/>
  <c r="F19" i="3"/>
  <c r="K19" i="3"/>
  <c r="P19" i="3"/>
  <c r="N20" i="3"/>
  <c r="O20" i="3"/>
  <c r="N19" i="3"/>
  <c r="O19" i="3"/>
  <c r="Q20" i="3"/>
  <c r="R20" i="3"/>
  <c r="T20" i="3"/>
  <c r="Q19" i="3"/>
  <c r="R19" i="3"/>
  <c r="T19" i="3"/>
  <c r="B3" i="3"/>
  <c r="F26" i="3"/>
  <c r="S20" i="3"/>
  <c r="L20" i="3"/>
  <c r="M20" i="3"/>
  <c r="K5" i="5"/>
  <c r="S19" i="3"/>
  <c r="L19" i="3"/>
  <c r="M19" i="3"/>
</calcChain>
</file>

<file path=xl/sharedStrings.xml><?xml version="1.0" encoding="utf-8"?>
<sst xmlns="http://schemas.openxmlformats.org/spreadsheetml/2006/main" count="155" uniqueCount="58">
  <si>
    <t>Sample Name</t>
  </si>
  <si>
    <t>(T) Change in Temp.</t>
  </si>
  <si>
    <t>(w) energy equivalent of calorimeter in calories per degree C</t>
  </si>
  <si>
    <t>(m)Weight in grams</t>
  </si>
  <si>
    <t>11373 Btu/lb</t>
  </si>
  <si>
    <t>CV</t>
  </si>
  <si>
    <t>STDEV</t>
  </si>
  <si>
    <t>Benzoic Acid Expected</t>
  </si>
  <si>
    <t>wire used</t>
  </si>
  <si>
    <t>Benzoic Average</t>
  </si>
  <si>
    <t>(m)Weight in grams of sample</t>
  </si>
  <si>
    <t>(m)Weight in grams of spike used</t>
  </si>
  <si>
    <t>(Hc) gross heat of combustion in calories per gram</t>
  </si>
  <si>
    <t>BZ-check</t>
  </si>
  <si>
    <t>wire used (cal)</t>
  </si>
  <si>
    <t xml:space="preserve">Benzoic </t>
  </si>
  <si>
    <t>international Steam Table</t>
  </si>
  <si>
    <t>kJ/mol</t>
  </si>
  <si>
    <t>kJ/g</t>
  </si>
  <si>
    <t>(Hg) gross heat of combustion in calories per gram (IT)</t>
  </si>
  <si>
    <t>(Hg) gross heat of combustion in calories (IT) per gram</t>
  </si>
  <si>
    <t>.</t>
  </si>
  <si>
    <t>cal</t>
  </si>
  <si>
    <t>start (g)</t>
  </si>
  <si>
    <t>end (g)</t>
  </si>
  <si>
    <t>Btu/Ib</t>
  </si>
  <si>
    <t>Net heat of combustion in calories per gram (IT)</t>
  </si>
  <si>
    <t>Net heat of combustion in Btu/lb-Hydrogen content corrected</t>
  </si>
  <si>
    <t>6318.4 cal/g</t>
  </si>
  <si>
    <t>Nitric Acid Correction</t>
  </si>
  <si>
    <t>Heat of Formation of Nitric Acid calories/milliequivalant</t>
  </si>
  <si>
    <t>mL of titrant</t>
  </si>
  <si>
    <t>HOE-PhoR II - Sed Traps</t>
  </si>
  <si>
    <t>Plankton</t>
  </si>
  <si>
    <t>with correction</t>
  </si>
  <si>
    <t>without</t>
  </si>
  <si>
    <t>Benzoic Acid:</t>
  </si>
  <si>
    <t>g/mol</t>
  </si>
  <si>
    <t>cal/g</t>
  </si>
  <si>
    <t>Btu/lb</t>
  </si>
  <si>
    <t>MJ/kg</t>
  </si>
  <si>
    <t>thermochemical cal</t>
  </si>
  <si>
    <t>J</t>
  </si>
  <si>
    <t>conversion:</t>
  </si>
  <si>
    <t>kJ/mol (measured)</t>
  </si>
  <si>
    <t>±4</t>
  </si>
  <si>
    <t>SD</t>
  </si>
  <si>
    <t>kJ/mol (calculated)</t>
  </si>
  <si>
    <t>kJ/mol (literature)</t>
  </si>
  <si>
    <t>Wire calculation 1 cm = 2.3 cal or 1400 cal/g</t>
  </si>
  <si>
    <t>Measured - Expected</t>
  </si>
  <si>
    <t>% Diff.</t>
  </si>
  <si>
    <t>% Recovery</t>
  </si>
  <si>
    <t>Average</t>
  </si>
  <si>
    <t>J/g</t>
  </si>
  <si>
    <t>J/mg</t>
  </si>
  <si>
    <t>HOE-PhoR II 140m</t>
  </si>
  <si>
    <t>140m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</si>
</sst>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0"/>
  </numFmts>
  <fonts count="16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6"/>
      <color rgb="FFFF0000"/>
      <name val="Calibri"/>
      <scheme val="minor"/>
    </font>
    <font>
      <sz val="12"/>
      <name val="Calibri"/>
      <scheme val="minor"/>
    </font>
    <font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scheme val="minor"/>
    </font>
    <font>
      <b/>
      <sz val="12"/>
      <color rgb="FFFF0000"/>
      <name val="Calibri"/>
      <scheme val="minor"/>
    </font>
    <font>
      <sz val="16"/>
      <name val="Calibri"/>
      <scheme val="minor"/>
    </font>
    <font>
      <sz val="8"/>
      <name val="Calibri"/>
      <family val="2"/>
      <scheme val="minor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0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10" fontId="1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/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2" borderId="0" xfId="0" applyFont="1" applyFill="1"/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2" fillId="2" borderId="0" xfId="0" applyFont="1" applyFill="1"/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</cellXfs>
  <cellStyles count="3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="125" zoomScaleNormal="125" zoomScalePageLayoutView="125" workbookViewId="0">
      <selection activeCell="A2" sqref="A2"/>
    </sheetView>
  </sheetViews>
  <sheetFormatPr baseColWidth="10" defaultRowHeight="15" x14ac:dyDescent="0"/>
  <cols>
    <col min="1" max="1" width="19.1640625" customWidth="1"/>
    <col min="2" max="2" width="18" customWidth="1"/>
    <col min="3" max="3" width="14" customWidth="1"/>
    <col min="4" max="4" width="15.33203125" customWidth="1"/>
    <col min="5" max="6" width="14" customWidth="1"/>
    <col min="7" max="7" width="23.5" customWidth="1"/>
    <col min="8" max="8" width="15.83203125" customWidth="1"/>
    <col min="9" max="9" width="17.33203125" customWidth="1"/>
    <col min="10" max="10" width="18.5" customWidth="1"/>
    <col min="17" max="17" width="11.5" customWidth="1"/>
  </cols>
  <sheetData>
    <row r="1" spans="1:17" ht="61" customHeight="1">
      <c r="A1" s="50" t="s">
        <v>7</v>
      </c>
      <c r="B1" s="51"/>
      <c r="C1" s="16"/>
      <c r="D1" s="16"/>
      <c r="E1" s="16"/>
      <c r="F1" s="16"/>
      <c r="G1" s="16"/>
      <c r="H1" s="16"/>
      <c r="I1" s="16" t="s">
        <v>28</v>
      </c>
      <c r="J1" s="5" t="s">
        <v>4</v>
      </c>
      <c r="L1" s="1"/>
    </row>
    <row r="2" spans="1:17" ht="120">
      <c r="A2" s="16"/>
      <c r="B2" s="16" t="s">
        <v>0</v>
      </c>
      <c r="C2" s="4" t="s">
        <v>3</v>
      </c>
      <c r="D2" s="4" t="s">
        <v>30</v>
      </c>
      <c r="E2" s="4" t="s">
        <v>29</v>
      </c>
      <c r="F2" s="4" t="s">
        <v>8</v>
      </c>
      <c r="G2" s="16" t="s">
        <v>1</v>
      </c>
      <c r="H2" s="4" t="s">
        <v>2</v>
      </c>
      <c r="I2" s="4" t="s">
        <v>20</v>
      </c>
      <c r="J2" s="1"/>
      <c r="K2" s="1"/>
      <c r="L2" s="2"/>
      <c r="M2" s="52" t="s">
        <v>49</v>
      </c>
      <c r="N2" s="52"/>
      <c r="O2" s="52"/>
      <c r="P2" s="52"/>
      <c r="Q2" s="52"/>
    </row>
    <row r="3" spans="1:17" ht="20">
      <c r="A3" s="1"/>
      <c r="B3" s="1"/>
      <c r="C3" s="1"/>
      <c r="D3" s="16">
        <v>14.1</v>
      </c>
      <c r="E3" s="16">
        <v>7.0900000000000005E-2</v>
      </c>
      <c r="F3" s="1"/>
      <c r="G3" s="1"/>
      <c r="H3" s="1"/>
      <c r="I3" s="1"/>
      <c r="J3" s="1"/>
      <c r="K3" s="1"/>
      <c r="L3" s="16"/>
      <c r="M3" s="16" t="s">
        <v>23</v>
      </c>
      <c r="N3" s="16" t="s">
        <v>22</v>
      </c>
      <c r="O3" s="16" t="s">
        <v>24</v>
      </c>
      <c r="P3" s="16" t="s">
        <v>22</v>
      </c>
      <c r="Q3" s="16" t="s">
        <v>8</v>
      </c>
    </row>
    <row r="5" spans="1:17" ht="20">
      <c r="A5" s="2"/>
      <c r="B5" s="2" t="s">
        <v>15</v>
      </c>
      <c r="C5" s="2">
        <v>0.18982869999999999</v>
      </c>
      <c r="D5" s="2">
        <v>1.3</v>
      </c>
      <c r="E5" s="2">
        <f t="shared" ref="E5" si="0">D5*$D$3*$E$3</f>
        <v>1.2995970000000001</v>
      </c>
      <c r="F5" s="26">
        <f>Q5</f>
        <v>13.661760000000001</v>
      </c>
      <c r="G5" s="2">
        <v>2.2688000000000001</v>
      </c>
      <c r="H5" s="2">
        <f t="shared" ref="H5" si="1">((C5*6318.4)+F5+E5)/G5</f>
        <v>535.2499184943581</v>
      </c>
      <c r="I5" s="2">
        <f t="shared" ref="I5" si="2">((G5*H5)-F5-E5)/C5</f>
        <v>6318.4</v>
      </c>
      <c r="J5" s="2">
        <v>11376.463</v>
      </c>
      <c r="K5" s="15">
        <f>J5/11373</f>
        <v>1.0003044930976874</v>
      </c>
      <c r="L5" s="8"/>
      <c r="M5" s="8">
        <v>1.47584E-2</v>
      </c>
      <c r="N5" s="8">
        <f>M5*1400</f>
        <v>20.661760000000001</v>
      </c>
      <c r="O5" s="8">
        <v>5.0000000000000001E-3</v>
      </c>
      <c r="P5">
        <f t="shared" ref="P5" si="3">O5*1400</f>
        <v>7</v>
      </c>
      <c r="Q5" s="25">
        <f t="shared" ref="Q5" si="4">N5-P5</f>
        <v>13.661760000000001</v>
      </c>
    </row>
    <row r="6" spans="1:17" ht="20">
      <c r="C6" s="2">
        <v>0.1996243</v>
      </c>
      <c r="D6" s="2">
        <v>1.4</v>
      </c>
      <c r="E6" s="2">
        <f t="shared" ref="E6" si="5">D6*$D$3*$E$3</f>
        <v>1.3995660000000001</v>
      </c>
      <c r="F6" s="26">
        <f>Q6</f>
        <v>18.946900000000003</v>
      </c>
      <c r="G6" s="2">
        <v>2.4036</v>
      </c>
      <c r="H6" s="2">
        <f t="shared" ref="H6" si="6">((C6*6318.4)+F6+E6)/G6</f>
        <v>533.22210148111162</v>
      </c>
      <c r="I6" s="2">
        <f t="shared" ref="I6" si="7">((G6*H6)-F6-E6)/C6</f>
        <v>6318.3999999999987</v>
      </c>
      <c r="M6" s="8">
        <v>1.4704500000000001E-2</v>
      </c>
      <c r="N6" s="8">
        <f>M6*1400</f>
        <v>20.586300000000001</v>
      </c>
      <c r="O6" s="8">
        <v>1.1709999999999999E-3</v>
      </c>
      <c r="P6">
        <f t="shared" ref="P6" si="8">O6*1400</f>
        <v>1.6394</v>
      </c>
      <c r="Q6" s="25">
        <f t="shared" ref="Q6" si="9">N6-P6</f>
        <v>18.946900000000003</v>
      </c>
    </row>
    <row r="8" spans="1:17" ht="20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8"/>
      <c r="M8" s="18"/>
      <c r="N8" s="8"/>
      <c r="O8" s="8"/>
      <c r="P8" s="8"/>
      <c r="Q8" s="8"/>
    </row>
    <row r="9" spans="1:17" ht="20">
      <c r="A9" s="2"/>
      <c r="B9" s="2"/>
      <c r="C9" s="2"/>
      <c r="D9" s="2"/>
      <c r="E9" s="2"/>
      <c r="F9" s="2"/>
      <c r="G9" s="2"/>
      <c r="H9" s="2"/>
      <c r="I9" s="2"/>
      <c r="J9" s="1"/>
      <c r="K9" s="1"/>
      <c r="L9" s="1"/>
      <c r="M9" s="1"/>
    </row>
    <row r="10" spans="1:17" ht="20">
      <c r="A10" s="2"/>
      <c r="B10" s="2"/>
      <c r="C10" s="2"/>
      <c r="D10" s="2"/>
      <c r="E10" s="2"/>
      <c r="F10" s="2"/>
      <c r="G10" s="2" t="s">
        <v>53</v>
      </c>
      <c r="H10" s="2">
        <f>AVERAGE(H5:H6)</f>
        <v>534.23600998773486</v>
      </c>
      <c r="L10" s="1"/>
      <c r="M10" s="1"/>
    </row>
    <row r="11" spans="1:17" ht="20">
      <c r="A11" s="2"/>
      <c r="B11" s="2"/>
      <c r="C11" s="2"/>
      <c r="D11" s="2"/>
      <c r="E11" s="2"/>
      <c r="F11" s="2"/>
      <c r="G11" s="2"/>
      <c r="H11" s="2">
        <f>ABS(H5-H6)</f>
        <v>2.0278170132464766</v>
      </c>
      <c r="L11" s="1"/>
      <c r="M11" s="1"/>
    </row>
    <row r="12" spans="1:17" ht="20">
      <c r="A12" s="2"/>
      <c r="B12" s="2"/>
      <c r="C12" s="2"/>
      <c r="D12" s="2"/>
      <c r="E12" s="2"/>
      <c r="F12" s="2"/>
      <c r="G12" s="2"/>
      <c r="H12" s="6">
        <f>H11/H10</f>
        <v>3.7957325514111858E-3</v>
      </c>
      <c r="L12" s="1"/>
      <c r="M12" s="1"/>
    </row>
    <row r="13" spans="1:17" ht="20">
      <c r="A13" s="2"/>
      <c r="B13" s="2"/>
      <c r="C13" s="2"/>
      <c r="D13" s="2"/>
      <c r="E13" s="2"/>
      <c r="F13" s="2"/>
      <c r="G13" s="2"/>
      <c r="H13" s="2"/>
      <c r="L13" s="1"/>
      <c r="M13" s="1"/>
    </row>
    <row r="14" spans="1:17" ht="20">
      <c r="A14" s="2"/>
      <c r="B14" s="2"/>
      <c r="C14" s="2"/>
      <c r="D14" s="2"/>
      <c r="E14" s="2"/>
      <c r="F14" s="2"/>
      <c r="G14" s="2"/>
      <c r="H14" s="2"/>
      <c r="L14" s="1"/>
      <c r="M14" s="1"/>
    </row>
    <row r="15" spans="1:17" ht="20">
      <c r="A15" s="2"/>
      <c r="B15" s="2"/>
      <c r="C15" s="2"/>
      <c r="D15" s="2"/>
      <c r="E15" s="2"/>
      <c r="F15" s="2"/>
      <c r="G15" s="2"/>
      <c r="H15" s="2"/>
      <c r="I15" s="2"/>
      <c r="J15" s="1"/>
      <c r="K15" s="1" t="s">
        <v>21</v>
      </c>
      <c r="L15" s="1"/>
      <c r="M15" s="1"/>
    </row>
    <row r="16" spans="1:17" ht="20">
      <c r="A16" s="2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</row>
    <row r="17" spans="1:13" ht="20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</row>
    <row r="18" spans="1:13" ht="20">
      <c r="A18" s="2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</row>
    <row r="19" spans="1:13" ht="20">
      <c r="A19" s="2"/>
      <c r="B19" s="2"/>
      <c r="C19" s="2"/>
      <c r="D19" s="2"/>
      <c r="E19" s="2"/>
      <c r="F19" s="2"/>
      <c r="G19" s="2"/>
      <c r="H19" s="2"/>
      <c r="I19" s="2"/>
      <c r="J19" s="1"/>
      <c r="K19" s="1"/>
      <c r="L19" s="1"/>
      <c r="M19" s="1"/>
    </row>
    <row r="20" spans="1:13" ht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2">
    <mergeCell ref="A1:B1"/>
    <mergeCell ref="M2:Q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125" zoomScaleNormal="125" zoomScalePageLayoutView="125" workbookViewId="0">
      <selection activeCell="A3" sqref="A3"/>
    </sheetView>
  </sheetViews>
  <sheetFormatPr baseColWidth="10" defaultRowHeight="15" x14ac:dyDescent="0"/>
  <cols>
    <col min="1" max="1" width="19.1640625" customWidth="1"/>
    <col min="2" max="2" width="18" customWidth="1"/>
    <col min="3" max="4" width="14" customWidth="1"/>
    <col min="5" max="5" width="15.5" customWidth="1"/>
    <col min="6" max="8" width="14" customWidth="1"/>
    <col min="9" max="9" width="23.5" customWidth="1"/>
    <col min="10" max="10" width="15.83203125" customWidth="1"/>
    <col min="11" max="12" width="17.33203125" customWidth="1"/>
    <col min="13" max="13" width="19.1640625" customWidth="1"/>
    <col min="14" max="14" width="13.83203125" customWidth="1"/>
    <col min="15" max="15" width="10.5" customWidth="1"/>
    <col min="16" max="16" width="12.83203125" customWidth="1"/>
    <col min="19" max="19" width="15.1640625" customWidth="1"/>
    <col min="20" max="20" width="15.5" customWidth="1"/>
  </cols>
  <sheetData>
    <row r="1" spans="1:26">
      <c r="A1" s="53" t="s">
        <v>36</v>
      </c>
      <c r="B1" s="51"/>
      <c r="C1" s="42"/>
      <c r="D1" s="42" t="s">
        <v>43</v>
      </c>
      <c r="E1" s="43"/>
    </row>
    <row r="2" spans="1:26">
      <c r="A2" s="38" t="s">
        <v>37</v>
      </c>
      <c r="B2" s="40" t="s">
        <v>47</v>
      </c>
      <c r="C2" s="44"/>
      <c r="D2" s="44" t="s">
        <v>22</v>
      </c>
      <c r="E2" s="44" t="s">
        <v>42</v>
      </c>
    </row>
    <row r="3" spans="1:26">
      <c r="A3" s="39">
        <v>122.12130000000001</v>
      </c>
      <c r="B3" s="46">
        <f>((A5*E3)/1000)*A3</f>
        <v>3228.4213525132805</v>
      </c>
      <c r="C3" s="45"/>
      <c r="D3" s="45">
        <v>1</v>
      </c>
      <c r="E3" s="45">
        <v>4.1840000000000002</v>
      </c>
    </row>
    <row r="4" spans="1:26">
      <c r="A4" s="40" t="s">
        <v>38</v>
      </c>
      <c r="B4" s="40" t="s">
        <v>48</v>
      </c>
      <c r="C4" s="44" t="s">
        <v>46</v>
      </c>
    </row>
    <row r="5" spans="1:26">
      <c r="A5" s="41">
        <v>6318.4</v>
      </c>
      <c r="B5" s="41">
        <v>3228.29</v>
      </c>
      <c r="C5" s="45" t="s">
        <v>45</v>
      </c>
    </row>
    <row r="6" spans="1:26">
      <c r="A6" s="40" t="s">
        <v>41</v>
      </c>
    </row>
    <row r="7" spans="1:26">
      <c r="A7" s="41">
        <v>6323</v>
      </c>
    </row>
    <row r="8" spans="1:26">
      <c r="A8" s="40" t="s">
        <v>39</v>
      </c>
    </row>
    <row r="9" spans="1:26">
      <c r="A9" s="41">
        <v>11373</v>
      </c>
    </row>
    <row r="10" spans="1:26">
      <c r="A10" s="38" t="s">
        <v>40</v>
      </c>
    </row>
    <row r="11" spans="1:26">
      <c r="A11" s="41">
        <v>26.452999999999999</v>
      </c>
    </row>
    <row r="12" spans="1:26">
      <c r="A12" s="40" t="s">
        <v>44</v>
      </c>
    </row>
    <row r="13" spans="1:26">
      <c r="A13" s="41">
        <v>3228.29</v>
      </c>
    </row>
    <row r="15" spans="1:26" ht="120">
      <c r="A15" s="3"/>
      <c r="B15" s="3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8</v>
      </c>
      <c r="I15" s="3" t="s">
        <v>1</v>
      </c>
      <c r="J15" s="4" t="s">
        <v>2</v>
      </c>
      <c r="K15" s="4" t="s">
        <v>19</v>
      </c>
      <c r="L15" s="4" t="s">
        <v>27</v>
      </c>
      <c r="M15" s="4" t="s">
        <v>26</v>
      </c>
      <c r="N15" s="4" t="s">
        <v>50</v>
      </c>
      <c r="O15" s="4" t="s">
        <v>51</v>
      </c>
      <c r="P15" s="4" t="s">
        <v>52</v>
      </c>
      <c r="Q15" s="9" t="s">
        <v>54</v>
      </c>
      <c r="R15" s="33" t="s">
        <v>18</v>
      </c>
      <c r="S15" s="33" t="s">
        <v>25</v>
      </c>
      <c r="T15" s="33" t="s">
        <v>17</v>
      </c>
      <c r="U15" s="17"/>
      <c r="V15" s="52" t="s">
        <v>49</v>
      </c>
      <c r="W15" s="52"/>
      <c r="X15" s="52"/>
      <c r="Y15" s="52"/>
      <c r="Z15" s="52"/>
    </row>
    <row r="16" spans="1:26" ht="20">
      <c r="A16" s="1"/>
      <c r="B16" s="1"/>
      <c r="C16" s="1"/>
      <c r="D16" s="1"/>
      <c r="E16" s="2">
        <v>14.1</v>
      </c>
      <c r="F16" s="2">
        <v>7.0900000000000005E-2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"/>
      <c r="T16" s="9"/>
      <c r="V16" s="11"/>
    </row>
    <row r="17" spans="1:26" ht="20">
      <c r="A17" s="2"/>
      <c r="B17" s="2" t="s">
        <v>9</v>
      </c>
      <c r="C17" s="2"/>
      <c r="D17" s="2"/>
      <c r="E17" s="2"/>
      <c r="F17" s="2"/>
      <c r="G17" s="2"/>
      <c r="H17" s="2"/>
      <c r="I17" s="2"/>
      <c r="J17" s="2">
        <f>'Calabration Bomb2'!H10</f>
        <v>534.23600998773486</v>
      </c>
      <c r="K17" s="2">
        <v>6318.4</v>
      </c>
      <c r="L17" s="2"/>
      <c r="M17" s="2"/>
      <c r="N17" s="2"/>
      <c r="O17" s="2"/>
      <c r="P17" s="2"/>
      <c r="Q17" s="10"/>
      <c r="R17" s="1"/>
      <c r="S17" s="1"/>
      <c r="T17" s="1"/>
      <c r="V17" s="47"/>
      <c r="W17" s="21"/>
      <c r="X17" s="21"/>
      <c r="Y17" s="21"/>
      <c r="Z17" s="21"/>
    </row>
    <row r="18" spans="1:26" ht="2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9"/>
      <c r="R18" s="9"/>
      <c r="S18" s="16"/>
      <c r="T18" s="9"/>
      <c r="V18" s="22" t="s">
        <v>23</v>
      </c>
      <c r="W18" s="22" t="s">
        <v>22</v>
      </c>
      <c r="X18" s="22" t="s">
        <v>24</v>
      </c>
      <c r="Y18" s="22" t="s">
        <v>22</v>
      </c>
      <c r="Z18" s="22" t="s">
        <v>8</v>
      </c>
    </row>
    <row r="19" spans="1:26" ht="20">
      <c r="A19" s="2" t="s">
        <v>34</v>
      </c>
      <c r="B19" s="2" t="s">
        <v>13</v>
      </c>
      <c r="C19" s="2">
        <v>0.18982869999999999</v>
      </c>
      <c r="D19" s="2"/>
      <c r="E19" s="2">
        <v>1.3</v>
      </c>
      <c r="F19" s="24">
        <f>E19*$E$16*$F$16</f>
        <v>1.2995970000000001</v>
      </c>
      <c r="G19" s="2"/>
      <c r="H19" s="2">
        <f>Z19</f>
        <v>12.699960000000001</v>
      </c>
      <c r="I19" s="2">
        <v>2.2688000000000001</v>
      </c>
      <c r="J19" s="2"/>
      <c r="K19" s="2">
        <f>((I19*J$17)-H19-F19)/C19</f>
        <v>6311.3486130399306</v>
      </c>
      <c r="L19" s="2">
        <f>S19-(92.7)*(0.0495)</f>
        <v>11355.838853471876</v>
      </c>
      <c r="M19" s="24">
        <f>L19/1.8</f>
        <v>6308.7993630399305</v>
      </c>
      <c r="N19" s="24">
        <f>K19-K17</f>
        <v>-7.0513869600690668</v>
      </c>
      <c r="O19" s="36">
        <f>(N19/K17)*100</f>
        <v>-0.11160083185725923</v>
      </c>
      <c r="P19" s="36">
        <f>(K19/K17)*100</f>
        <v>99.88839916814274</v>
      </c>
      <c r="Q19" s="1">
        <f>K19*E$3</f>
        <v>26406.682596959072</v>
      </c>
      <c r="R19" s="1">
        <f>Q19/1000</f>
        <v>26.406682596959072</v>
      </c>
      <c r="S19" s="36">
        <f>K19*1.8</f>
        <v>11360.427503471876</v>
      </c>
      <c r="T19" s="24">
        <f>R19*$A$3</f>
        <v>3224.818407428018</v>
      </c>
      <c r="V19" s="8">
        <v>1.47584E-2</v>
      </c>
      <c r="W19" s="21">
        <f>V19*1400</f>
        <v>20.661760000000001</v>
      </c>
      <c r="X19" s="8">
        <v>5.6870000000000002E-3</v>
      </c>
      <c r="Y19" s="21">
        <f>X19*1400</f>
        <v>7.9618000000000002</v>
      </c>
      <c r="Z19" s="21">
        <f>W19-Y19</f>
        <v>12.699960000000001</v>
      </c>
    </row>
    <row r="20" spans="1:26" ht="20">
      <c r="A20" s="2" t="s">
        <v>35</v>
      </c>
      <c r="B20" s="2" t="s">
        <v>13</v>
      </c>
      <c r="C20" s="2">
        <v>0.18982869999999999</v>
      </c>
      <c r="D20" s="7"/>
      <c r="E20" s="2">
        <v>0</v>
      </c>
      <c r="F20" s="24">
        <f>E20*$E$16*$F$16</f>
        <v>0</v>
      </c>
      <c r="G20" s="2"/>
      <c r="H20" s="2">
        <f>Z20</f>
        <v>12.699960000000001</v>
      </c>
      <c r="I20" s="2">
        <v>2.2688000000000001</v>
      </c>
      <c r="J20" s="2"/>
      <c r="K20" s="2">
        <f>((I20*J$17)-H20-F20)/C20</f>
        <v>6318.194769601082</v>
      </c>
      <c r="L20" s="2">
        <f>S20-(92.7)*(0.0495)</f>
        <v>11368.161935281949</v>
      </c>
      <c r="M20" s="24">
        <f>L20/1.8</f>
        <v>6315.6455196010829</v>
      </c>
      <c r="N20" s="24">
        <f>K20-K17</f>
        <v>-0.20523039891759254</v>
      </c>
      <c r="O20" s="36">
        <f>(N20/K17)*100</f>
        <v>-3.2481387521776485E-3</v>
      </c>
      <c r="P20" s="36">
        <f>(K20/K17)*100</f>
        <v>99.99675186124783</v>
      </c>
      <c r="Q20" s="1">
        <f>K20*E$3</f>
        <v>26435.326916010927</v>
      </c>
      <c r="R20" s="1">
        <f>Q20/1000</f>
        <v>26.435326916010926</v>
      </c>
      <c r="S20" s="36">
        <f>K20*1.8</f>
        <v>11372.750585281949</v>
      </c>
      <c r="T20" s="24">
        <f>R20*$A$3</f>
        <v>3228.316488908245</v>
      </c>
      <c r="V20" s="8">
        <v>1.47584E-2</v>
      </c>
      <c r="W20" s="21">
        <f>V20*1400</f>
        <v>20.661760000000001</v>
      </c>
      <c r="X20" s="8">
        <v>5.6870000000000002E-3</v>
      </c>
      <c r="Y20" s="21">
        <f>X20*1400</f>
        <v>7.9618000000000002</v>
      </c>
      <c r="Z20" s="21">
        <f>W20-Y20</f>
        <v>12.699960000000001</v>
      </c>
    </row>
    <row r="21" spans="1:26" ht="20">
      <c r="A21" s="2"/>
      <c r="B21" s="2"/>
      <c r="C21" s="2"/>
      <c r="D21" s="7"/>
      <c r="E21" s="2"/>
      <c r="F21" s="24"/>
      <c r="G21" s="2"/>
      <c r="H21" s="2"/>
      <c r="I21" s="2"/>
      <c r="J21" s="2"/>
      <c r="K21" s="2"/>
      <c r="L21" s="2"/>
      <c r="M21" s="24"/>
      <c r="N21" s="24"/>
      <c r="O21" s="36"/>
      <c r="P21" s="36"/>
      <c r="Q21" s="1"/>
      <c r="R21" s="1"/>
      <c r="S21" s="36"/>
      <c r="T21" s="24"/>
      <c r="V21" s="21"/>
      <c r="W21" s="21"/>
      <c r="X21" s="21"/>
      <c r="Y21" s="21"/>
      <c r="Z21" s="21"/>
    </row>
    <row r="22" spans="1:26" ht="20">
      <c r="A22" s="2" t="s">
        <v>34</v>
      </c>
      <c r="B22" s="2" t="s">
        <v>13</v>
      </c>
      <c r="C22" s="29">
        <v>3.8035699999999999E-2</v>
      </c>
      <c r="D22" s="29"/>
      <c r="E22" s="29">
        <v>0.4</v>
      </c>
      <c r="F22" s="24">
        <f>E22*$E$16*$F$16</f>
        <v>0.39987600000000006</v>
      </c>
      <c r="G22" s="2"/>
      <c r="H22" s="2">
        <f>Z22</f>
        <v>16.166220000000003</v>
      </c>
      <c r="I22" s="29">
        <v>0.4829</v>
      </c>
      <c r="J22" s="2"/>
      <c r="K22" s="2">
        <f>((I22*J$17)-H22-F22)/C22</f>
        <v>6347.1021493774842</v>
      </c>
      <c r="L22" s="2">
        <f>S22-(92.7)*(0.0495)</f>
        <v>11420.195218879473</v>
      </c>
      <c r="M22" s="24">
        <f>L22/1.8</f>
        <v>6344.5528993774851</v>
      </c>
      <c r="N22" s="24">
        <f>K22-K20</f>
        <v>28.907379776402195</v>
      </c>
      <c r="O22" s="36">
        <f>(N22/K20)*100</f>
        <v>0.45752593629251709</v>
      </c>
      <c r="P22" s="36">
        <f>(K22/K20)*100</f>
        <v>100.45752593629251</v>
      </c>
      <c r="Q22" s="1">
        <f>K22*E$3</f>
        <v>26556.275392995394</v>
      </c>
      <c r="R22" s="1">
        <f>Q22/1000</f>
        <v>26.556275392995396</v>
      </c>
      <c r="S22" s="36">
        <f>K22*1.8</f>
        <v>11424.783868879473</v>
      </c>
      <c r="T22" s="24">
        <f>R22*$A$3</f>
        <v>3243.0868741506088</v>
      </c>
      <c r="V22" s="18">
        <v>1.5109300000000001E-2</v>
      </c>
      <c r="W22" s="21">
        <f>V22*1400</f>
        <v>21.153020000000001</v>
      </c>
      <c r="X22" s="18">
        <v>3.5620000000000001E-3</v>
      </c>
      <c r="Y22" s="21">
        <f>X22*1400</f>
        <v>4.9867999999999997</v>
      </c>
      <c r="Z22" s="21">
        <f>W22-Y22</f>
        <v>16.166220000000003</v>
      </c>
    </row>
    <row r="23" spans="1:26" ht="20">
      <c r="A23" s="2" t="s">
        <v>35</v>
      </c>
      <c r="B23" s="2" t="s">
        <v>13</v>
      </c>
      <c r="C23" s="29">
        <v>3.8035699999999999E-2</v>
      </c>
      <c r="D23" s="29"/>
      <c r="E23" s="2">
        <v>0</v>
      </c>
      <c r="F23" s="24">
        <f>E23*$E$16*$F$16</f>
        <v>0</v>
      </c>
      <c r="G23" s="2"/>
      <c r="H23" s="2">
        <f>Z23</f>
        <v>16.166220000000003</v>
      </c>
      <c r="I23" s="29">
        <v>0.4829</v>
      </c>
      <c r="J23" s="2"/>
      <c r="K23" s="2">
        <f>((I23*J$17)-H23-F23)/C23</f>
        <v>6357.6153251570804</v>
      </c>
      <c r="L23" s="2">
        <f>S23-(92.7)*(0.0495)</f>
        <v>11439.118935282746</v>
      </c>
      <c r="M23" s="24">
        <f>L23/1.8</f>
        <v>6355.0660751570813</v>
      </c>
      <c r="N23" s="24">
        <f>K23-K20</f>
        <v>39.420555555998362</v>
      </c>
      <c r="O23" s="36">
        <f>(N23/K20)*100</f>
        <v>0.62392118308323841</v>
      </c>
      <c r="P23" s="36">
        <f>(K23/K20)*100</f>
        <v>100.62392118308323</v>
      </c>
      <c r="Q23" s="1">
        <f>K23*E$3</f>
        <v>26600.262520457225</v>
      </c>
      <c r="R23" s="1">
        <f>Q23/1000</f>
        <v>26.600262520457225</v>
      </c>
      <c r="S23" s="36">
        <f>K23*1.8</f>
        <v>11443.707585282746</v>
      </c>
      <c r="T23" s="24">
        <f>R23*$A$3</f>
        <v>3248.458639339513</v>
      </c>
      <c r="V23" s="18">
        <v>1.5109300000000001E-2</v>
      </c>
      <c r="W23" s="21">
        <f>V23*1400</f>
        <v>21.153020000000001</v>
      </c>
      <c r="X23" s="18">
        <v>3.5620000000000001E-3</v>
      </c>
      <c r="Y23" s="21">
        <f>X23*1400</f>
        <v>4.9867999999999997</v>
      </c>
      <c r="Z23" s="21">
        <f>W23-Y23</f>
        <v>16.166220000000003</v>
      </c>
    </row>
    <row r="24" spans="1:26" ht="20">
      <c r="A24" s="2"/>
      <c r="B24" s="2"/>
      <c r="C24" s="29"/>
      <c r="D24" s="7"/>
      <c r="E24" s="29"/>
      <c r="F24" s="24"/>
      <c r="G24" s="2"/>
      <c r="H24" s="2"/>
      <c r="I24" s="29"/>
      <c r="J24" s="2"/>
      <c r="K24" s="2"/>
      <c r="L24" s="2"/>
      <c r="M24" s="24"/>
      <c r="N24" s="24"/>
      <c r="O24" s="24"/>
      <c r="P24" s="24"/>
      <c r="Q24" s="1"/>
      <c r="R24" s="1"/>
      <c r="S24" s="2"/>
      <c r="T24" s="1"/>
      <c r="V24" s="18"/>
      <c r="W24" s="21"/>
      <c r="X24" s="18"/>
      <c r="Y24" s="21"/>
      <c r="Z24" s="21"/>
    </row>
    <row r="25" spans="1:26" ht="20">
      <c r="A25" s="2" t="s">
        <v>34</v>
      </c>
      <c r="B25" s="7" t="s">
        <v>33</v>
      </c>
      <c r="C25" s="7">
        <v>6.0759999999999998E-3</v>
      </c>
      <c r="D25" s="7">
        <v>3.5976500000000002E-2</v>
      </c>
      <c r="E25" s="7">
        <v>0.45</v>
      </c>
      <c r="F25" s="37">
        <f t="shared" ref="F25" si="0">E25*$E$16*$F$16</f>
        <v>0.4498605</v>
      </c>
      <c r="G25" s="27"/>
      <c r="H25" s="2">
        <f>Z25</f>
        <v>14.6601</v>
      </c>
      <c r="I25" s="7">
        <v>0.50170000000000003</v>
      </c>
      <c r="J25" s="7"/>
      <c r="K25" s="7">
        <f t="shared" ref="K25" si="1">((I25)*(J$17)-H25-F25-(K$17)*(D25))/C25</f>
        <v>4213.6813875652779</v>
      </c>
      <c r="L25" s="8"/>
      <c r="Q25" s="1">
        <f t="shared" ref="Q25:Q26" si="2">K25*E$3</f>
        <v>17630.042925573125</v>
      </c>
      <c r="R25" s="1">
        <f t="shared" ref="R25:R26" si="3">Q25/1000</f>
        <v>17.630042925573125</v>
      </c>
      <c r="S25" s="8"/>
      <c r="T25" s="8"/>
      <c r="U25" s="31"/>
      <c r="V25" s="18">
        <v>1.47689E-2</v>
      </c>
      <c r="W25" s="21">
        <f t="shared" ref="W25:W26" si="4">V25*1400</f>
        <v>20.676459999999999</v>
      </c>
      <c r="X25" s="31">
        <v>4.2973999999999998E-3</v>
      </c>
      <c r="Y25" s="21">
        <f t="shared" ref="Y25:Y26" si="5">X25*1400</f>
        <v>6.0163599999999997</v>
      </c>
      <c r="Z25" s="21">
        <f t="shared" ref="Z25:Z26" si="6">W25-Y25</f>
        <v>14.6601</v>
      </c>
    </row>
    <row r="26" spans="1:26" ht="20">
      <c r="A26" s="2" t="s">
        <v>35</v>
      </c>
      <c r="B26" s="7" t="s">
        <v>33</v>
      </c>
      <c r="C26" s="7">
        <v>6.0759999999999998E-3</v>
      </c>
      <c r="D26" s="7">
        <v>3.5976500000000002E-2</v>
      </c>
      <c r="E26" s="2">
        <v>0</v>
      </c>
      <c r="F26" s="37">
        <f t="shared" ref="F26" si="7">E26*$E$16*$F$16</f>
        <v>0</v>
      </c>
      <c r="G26" s="27"/>
      <c r="H26" s="2">
        <f>Z26</f>
        <v>14.6601</v>
      </c>
      <c r="I26" s="7">
        <v>0.50170000000000003</v>
      </c>
      <c r="J26" s="7"/>
      <c r="K26" s="7">
        <f t="shared" ref="K26" si="8">((I26)*(J$17)-H26-F26-(K$17)*(D26))/C26</f>
        <v>4287.7203111992476</v>
      </c>
      <c r="L26" s="8"/>
      <c r="Q26" s="1">
        <f t="shared" si="2"/>
        <v>17939.821782057654</v>
      </c>
      <c r="R26" s="1">
        <f t="shared" si="3"/>
        <v>17.939821782057653</v>
      </c>
      <c r="S26" s="8"/>
      <c r="T26" s="8"/>
      <c r="U26" s="31"/>
      <c r="V26" s="18">
        <v>1.47689E-2</v>
      </c>
      <c r="W26" s="21">
        <f t="shared" si="4"/>
        <v>20.676459999999999</v>
      </c>
      <c r="X26" s="31">
        <v>4.2973999999999998E-3</v>
      </c>
      <c r="Y26" s="21">
        <f t="shared" si="5"/>
        <v>6.0163599999999997</v>
      </c>
      <c r="Z26" s="21">
        <f t="shared" si="6"/>
        <v>14.6601</v>
      </c>
    </row>
    <row r="27" spans="1:26" ht="20">
      <c r="A27" s="2"/>
      <c r="B27" s="2"/>
      <c r="C27" s="2"/>
      <c r="D27" s="7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</row>
    <row r="28" spans="1:26" ht="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</row>
    <row r="29" spans="1:26" ht="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</row>
    <row r="30" spans="1:26" ht="20">
      <c r="A30" s="2"/>
      <c r="B30" s="2"/>
      <c r="C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</row>
    <row r="31" spans="1:26" ht="20">
      <c r="A31" s="2"/>
      <c r="B31" s="2"/>
      <c r="C31" s="2"/>
      <c r="D31" s="3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</row>
    <row r="32" spans="1:26" ht="20">
      <c r="A32" s="2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  <c r="M32" s="1"/>
      <c r="N32" s="1"/>
      <c r="O32" s="1"/>
      <c r="P32" s="1"/>
      <c r="Q32" s="1"/>
      <c r="R32" s="1"/>
      <c r="S32" s="1"/>
      <c r="T32" s="1"/>
    </row>
    <row r="33" spans="1:20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</row>
    <row r="34" spans="1:20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</row>
    <row r="35" spans="1:20" ht="20">
      <c r="A35" s="1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</row>
    <row r="36" spans="1:20" ht="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</row>
    <row r="37" spans="1:20" ht="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</row>
    <row r="38" spans="1:20" ht="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</row>
    <row r="39" spans="1:20" ht="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</row>
    <row r="40" spans="1:20" ht="20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0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0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0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20">
      <c r="D53" s="1"/>
    </row>
    <row r="54" spans="1:20" ht="20">
      <c r="D54" s="1"/>
    </row>
    <row r="55" spans="1:20" ht="20">
      <c r="D55" s="1"/>
    </row>
    <row r="56" spans="1:20" ht="20">
      <c r="D56" s="1"/>
    </row>
  </sheetData>
  <mergeCells count="2">
    <mergeCell ref="A1:B1"/>
    <mergeCell ref="V15:Z15"/>
  </mergeCells>
  <phoneticPr fontId="1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47"/>
  <sheetViews>
    <sheetView zoomScale="125" zoomScaleNormal="125" zoomScalePageLayoutView="125" workbookViewId="0">
      <selection activeCell="B11" sqref="B11"/>
    </sheetView>
  </sheetViews>
  <sheetFormatPr baseColWidth="10" defaultRowHeight="15" x14ac:dyDescent="0"/>
  <cols>
    <col min="1" max="1" width="19.1640625" customWidth="1"/>
    <col min="2" max="2" width="21.6640625" customWidth="1"/>
    <col min="3" max="4" width="14" customWidth="1"/>
    <col min="5" max="5" width="15.83203125" customWidth="1"/>
    <col min="6" max="8" width="14" customWidth="1"/>
    <col min="9" max="9" width="23.5" customWidth="1"/>
    <col min="10" max="10" width="15.83203125" customWidth="1"/>
    <col min="11" max="11" width="17.33203125" customWidth="1"/>
    <col min="12" max="13" width="14.5" bestFit="1" customWidth="1"/>
  </cols>
  <sheetData>
    <row r="1" spans="1:19">
      <c r="A1" s="53" t="s">
        <v>36</v>
      </c>
      <c r="B1" s="51"/>
      <c r="C1" s="42"/>
      <c r="D1" s="42" t="s">
        <v>43</v>
      </c>
      <c r="E1" s="43"/>
    </row>
    <row r="2" spans="1:19">
      <c r="A2" s="38" t="s">
        <v>37</v>
      </c>
      <c r="B2" s="40" t="s">
        <v>47</v>
      </c>
      <c r="C2" s="44"/>
      <c r="D2" s="44" t="s">
        <v>22</v>
      </c>
      <c r="E2" s="44" t="s">
        <v>42</v>
      </c>
    </row>
    <row r="3" spans="1:19">
      <c r="A3" s="39">
        <v>122.12130000000001</v>
      </c>
      <c r="B3" s="46">
        <f>((A5*E3)/1000)*A3</f>
        <v>3228.4213525132805</v>
      </c>
      <c r="C3" s="45"/>
      <c r="D3" s="45">
        <v>1</v>
      </c>
      <c r="E3" s="45">
        <v>4.1840000000000002</v>
      </c>
    </row>
    <row r="4" spans="1:19">
      <c r="A4" s="40" t="s">
        <v>38</v>
      </c>
      <c r="B4" s="40" t="s">
        <v>48</v>
      </c>
      <c r="C4" s="44" t="s">
        <v>46</v>
      </c>
    </row>
    <row r="5" spans="1:19">
      <c r="A5" s="41">
        <v>6318.4</v>
      </c>
      <c r="B5" s="41">
        <v>3228.29</v>
      </c>
      <c r="C5" s="45" t="s">
        <v>45</v>
      </c>
    </row>
    <row r="6" spans="1:19">
      <c r="A6" s="40" t="s">
        <v>41</v>
      </c>
    </row>
    <row r="7" spans="1:19">
      <c r="A7" s="41">
        <v>6323</v>
      </c>
    </row>
    <row r="8" spans="1:19">
      <c r="A8" s="40" t="s">
        <v>39</v>
      </c>
    </row>
    <row r="9" spans="1:19">
      <c r="A9" s="41">
        <v>11373</v>
      </c>
    </row>
    <row r="10" spans="1:19">
      <c r="A10" s="38" t="s">
        <v>40</v>
      </c>
    </row>
    <row r="11" spans="1:19">
      <c r="A11" s="41">
        <v>26.452999999999999</v>
      </c>
    </row>
    <row r="12" spans="1:19">
      <c r="A12" s="40" t="s">
        <v>44</v>
      </c>
    </row>
    <row r="13" spans="1:19">
      <c r="A13" s="41">
        <v>3228.29</v>
      </c>
    </row>
    <row r="14" spans="1:19" ht="61" customHeight="1">
      <c r="A14" s="50" t="s">
        <v>32</v>
      </c>
      <c r="B14" s="51"/>
      <c r="C14" s="33"/>
      <c r="D14" s="33"/>
      <c r="E14" s="33"/>
      <c r="F14" s="33"/>
      <c r="G14" s="33"/>
      <c r="H14" s="33"/>
      <c r="I14" s="33"/>
      <c r="J14" s="33"/>
      <c r="K14" s="33"/>
    </row>
    <row r="15" spans="1:19" ht="120">
      <c r="A15" s="33"/>
      <c r="B15" s="33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14</v>
      </c>
      <c r="I15" s="33" t="s">
        <v>1</v>
      </c>
      <c r="J15" s="4" t="s">
        <v>2</v>
      </c>
      <c r="K15" s="4" t="s">
        <v>12</v>
      </c>
      <c r="L15" s="33" t="s">
        <v>54</v>
      </c>
      <c r="M15" s="33" t="s">
        <v>55</v>
      </c>
      <c r="N15" s="1"/>
      <c r="O15" s="52" t="s">
        <v>49</v>
      </c>
      <c r="P15" s="52"/>
      <c r="Q15" s="52"/>
      <c r="R15" s="52"/>
      <c r="S15" s="52"/>
    </row>
    <row r="16" spans="1:19" ht="35" customHeight="1">
      <c r="A16" s="1"/>
      <c r="B16" s="1"/>
      <c r="C16" s="1"/>
      <c r="D16" s="1"/>
      <c r="E16" s="2">
        <v>14.1</v>
      </c>
      <c r="F16" s="2">
        <v>7.0900000000000005E-2</v>
      </c>
      <c r="G16" s="2"/>
      <c r="H16" s="1"/>
      <c r="I16" s="1"/>
      <c r="J16" s="1"/>
      <c r="K16" s="12" t="s">
        <v>16</v>
      </c>
      <c r="L16" s="1"/>
      <c r="M16" s="1"/>
      <c r="N16" s="2"/>
      <c r="O16" s="34"/>
    </row>
    <row r="17" spans="1:19" ht="20">
      <c r="A17" s="2"/>
      <c r="B17" s="2" t="s">
        <v>15</v>
      </c>
      <c r="C17" s="2"/>
      <c r="D17" s="2"/>
      <c r="E17" s="2"/>
      <c r="F17" s="2"/>
      <c r="G17" s="2"/>
      <c r="H17" s="2"/>
      <c r="I17" s="2"/>
      <c r="J17" s="24">
        <f>'Calabration Bomb2'!H10</f>
        <v>534.23600998773486</v>
      </c>
      <c r="K17" s="2">
        <f>'Calabration Bomb2'!I5</f>
        <v>6318.4</v>
      </c>
      <c r="L17" s="34"/>
      <c r="M17" s="1"/>
      <c r="N17" s="19"/>
      <c r="O17" s="20"/>
      <c r="P17" s="21"/>
      <c r="Q17" s="21"/>
      <c r="R17" s="21"/>
      <c r="S17" s="21"/>
    </row>
    <row r="18" spans="1:19" ht="20">
      <c r="A18" s="2"/>
      <c r="B18" s="2"/>
      <c r="C18" s="2"/>
      <c r="D18" s="2"/>
      <c r="E18" s="33" t="s">
        <v>31</v>
      </c>
      <c r="F18" s="2"/>
      <c r="G18" s="2"/>
      <c r="H18" s="2"/>
      <c r="I18" s="2"/>
      <c r="J18" s="2"/>
      <c r="K18" s="2"/>
      <c r="L18" s="33"/>
      <c r="M18" s="33"/>
      <c r="N18" s="22"/>
      <c r="O18" s="22" t="s">
        <v>23</v>
      </c>
      <c r="P18" s="22" t="s">
        <v>22</v>
      </c>
      <c r="Q18" s="22" t="s">
        <v>24</v>
      </c>
      <c r="R18" s="22" t="s">
        <v>22</v>
      </c>
      <c r="S18" s="22" t="s">
        <v>8</v>
      </c>
    </row>
    <row r="19" spans="1:19" s="8" customFormat="1" ht="20">
      <c r="A19" s="7"/>
      <c r="B19" s="7" t="s">
        <v>56</v>
      </c>
      <c r="C19" s="7">
        <v>6.7835999999999999E-3</v>
      </c>
      <c r="D19" s="7">
        <v>3.5376999999999999E-2</v>
      </c>
      <c r="E19" s="7">
        <v>0.45</v>
      </c>
      <c r="F19" s="37">
        <f>E19*$E$16*$F$16</f>
        <v>0.4498605</v>
      </c>
      <c r="G19" s="37"/>
      <c r="H19" s="37">
        <f>S19</f>
        <v>11.767559999999998</v>
      </c>
      <c r="I19" s="7">
        <v>0.47220000000000001</v>
      </c>
      <c r="J19" s="7"/>
      <c r="K19" s="35">
        <f>((I19)*(J$17)-H19-F19-(K$17)*(D19))/C19</f>
        <v>2435.6958865806369</v>
      </c>
      <c r="L19" s="35">
        <f>K19*$E$3</f>
        <v>10190.951589453385</v>
      </c>
      <c r="M19" s="35">
        <f>L19/1000</f>
        <v>10.190951589453386</v>
      </c>
      <c r="N19" s="28"/>
      <c r="O19" s="21">
        <v>1.4833799999999999E-2</v>
      </c>
      <c r="P19" s="21">
        <f>O19*1400</f>
        <v>20.767319999999998</v>
      </c>
      <c r="Q19" s="21">
        <v>6.4283999999999999E-3</v>
      </c>
      <c r="R19" s="21">
        <f>Q19*1400</f>
        <v>8.9997600000000002</v>
      </c>
      <c r="S19" s="21">
        <f>P19-R19</f>
        <v>11.767559999999998</v>
      </c>
    </row>
    <row r="20" spans="1:19" s="8" customFormat="1" ht="20">
      <c r="A20" s="7"/>
      <c r="B20" s="7" t="s">
        <v>56</v>
      </c>
      <c r="C20" s="7">
        <v>6.9305E-3</v>
      </c>
      <c r="D20" s="7">
        <v>3.5763900000000001E-2</v>
      </c>
      <c r="E20" s="7">
        <v>0.45</v>
      </c>
      <c r="F20" s="37">
        <f>E20*$E$16*$F$16</f>
        <v>0.4498605</v>
      </c>
      <c r="G20" s="37"/>
      <c r="H20" s="37">
        <f>S20</f>
        <v>12.549039999999998</v>
      </c>
      <c r="I20" s="7">
        <v>0.47749999999999998</v>
      </c>
      <c r="J20" s="14"/>
      <c r="K20" s="35">
        <f>((I20)*(J$17)-H20-F20-(K$17)*(D20))/C20</f>
        <v>2327.1291406310356</v>
      </c>
      <c r="L20" s="35">
        <f t="shared" ref="L20:L21" si="0">K20*$E$3</f>
        <v>9736.7083244002533</v>
      </c>
      <c r="M20" s="35">
        <f t="shared" ref="M20:M21" si="1">L20/1000</f>
        <v>9.7367083244002526</v>
      </c>
      <c r="N20" s="28"/>
      <c r="O20" s="21">
        <v>1.4664399999999999E-2</v>
      </c>
      <c r="P20" s="21">
        <f t="shared" ref="P20:P21" si="2">O20*1400</f>
        <v>20.530159999999999</v>
      </c>
      <c r="Q20" s="21">
        <v>5.7007999999999998E-3</v>
      </c>
      <c r="R20" s="21">
        <f t="shared" ref="R20:R21" si="3">Q20*1400</f>
        <v>7.9811199999999998</v>
      </c>
      <c r="S20" s="21">
        <f t="shared" ref="S20:S21" si="4">P20-R20</f>
        <v>12.549039999999998</v>
      </c>
    </row>
    <row r="21" spans="1:19" s="8" customFormat="1" ht="20">
      <c r="A21" s="7"/>
      <c r="B21" s="7" t="s">
        <v>56</v>
      </c>
      <c r="C21" s="7">
        <v>5.3699999999999998E-3</v>
      </c>
      <c r="D21" s="7">
        <v>3.6260599999999997E-2</v>
      </c>
      <c r="E21" s="7">
        <v>0.45</v>
      </c>
      <c r="F21" s="37">
        <f>E21*$E$16*$F$16</f>
        <v>0.4498605</v>
      </c>
      <c r="G21" s="37"/>
      <c r="H21" s="37">
        <f>S21</f>
        <v>16.842140000000001</v>
      </c>
      <c r="I21" s="30">
        <v>0.48570000000000002</v>
      </c>
      <c r="J21" s="7"/>
      <c r="K21" s="35">
        <f>((I21)*(J$17)-H21-F21-(K$17)*(D21))/C21</f>
        <v>2435.2801696541665</v>
      </c>
      <c r="L21" s="35">
        <f t="shared" si="0"/>
        <v>10189.212229833032</v>
      </c>
      <c r="M21" s="35">
        <f t="shared" si="1"/>
        <v>10.189212229833032</v>
      </c>
      <c r="N21" s="28"/>
      <c r="O21" s="23">
        <v>1.46321E-2</v>
      </c>
      <c r="P21" s="21">
        <f t="shared" si="2"/>
        <v>20.484940000000002</v>
      </c>
      <c r="Q21" s="21">
        <v>2.6020000000000001E-3</v>
      </c>
      <c r="R21" s="21">
        <f t="shared" si="3"/>
        <v>3.6428000000000003</v>
      </c>
      <c r="S21" s="21">
        <f t="shared" si="4"/>
        <v>16.842140000000001</v>
      </c>
    </row>
    <row r="22" spans="1:19" ht="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9" ht="20">
      <c r="A23" s="2"/>
      <c r="B23" s="2"/>
      <c r="C23" s="2"/>
      <c r="D23" s="2"/>
      <c r="E23" s="2"/>
      <c r="F23" s="2"/>
      <c r="G23" s="2"/>
      <c r="H23" s="2"/>
      <c r="I23" s="33" t="s">
        <v>57</v>
      </c>
      <c r="J23" s="2" t="s">
        <v>53</v>
      </c>
      <c r="K23" s="36">
        <f>AVERAGE(K19:K21)</f>
        <v>2399.3683989552796</v>
      </c>
      <c r="L23" s="36">
        <f>AVERAGE(L19:L21)</f>
        <v>10038.957381228891</v>
      </c>
      <c r="M23" s="36">
        <f>AVERAGE(M19:M21)</f>
        <v>10.03895738122889</v>
      </c>
    </row>
    <row r="24" spans="1:19" ht="20">
      <c r="A24" s="2"/>
      <c r="B24" s="2"/>
      <c r="C24" s="2"/>
      <c r="D24" s="2"/>
      <c r="E24" s="2"/>
      <c r="F24" s="2"/>
      <c r="G24" s="2"/>
      <c r="H24" s="2"/>
      <c r="I24" s="2"/>
      <c r="J24" s="2" t="s">
        <v>6</v>
      </c>
      <c r="K24" s="36">
        <f>STDEV(K19:K21)</f>
        <v>62.561378162316586</v>
      </c>
      <c r="L24" s="36">
        <f>STDEV(L19:L21)</f>
        <v>261.7568062311326</v>
      </c>
      <c r="M24" s="36">
        <f>STDEV(M19:M21)</f>
        <v>0.26175680623113312</v>
      </c>
    </row>
    <row r="25" spans="1:19" ht="20">
      <c r="A25" s="2"/>
      <c r="B25" s="2"/>
      <c r="C25" s="2"/>
      <c r="D25" s="2"/>
      <c r="E25" s="2"/>
      <c r="F25" s="2"/>
      <c r="G25" s="2"/>
      <c r="H25" s="2"/>
      <c r="I25" s="2"/>
      <c r="J25" s="2" t="s">
        <v>5</v>
      </c>
      <c r="K25" s="6">
        <f>K24/K23</f>
        <v>2.6074102747021564E-2</v>
      </c>
      <c r="L25" s="6">
        <f>L24/L23</f>
        <v>2.6074102747021561E-2</v>
      </c>
      <c r="M25" s="6">
        <f>M24/M23</f>
        <v>2.6074102747021616E-2</v>
      </c>
    </row>
    <row r="26" spans="1:19" ht="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</row>
    <row r="27" spans="1:19" ht="20">
      <c r="A27" s="2"/>
      <c r="B27" s="2"/>
      <c r="C27" s="2"/>
      <c r="D27" s="2"/>
      <c r="E27" s="2"/>
      <c r="F27" s="2"/>
      <c r="G27" s="2"/>
      <c r="H27" s="2"/>
      <c r="I27" s="33"/>
      <c r="J27" s="2"/>
      <c r="K27" s="36"/>
      <c r="L27" s="36"/>
      <c r="M27" s="36"/>
    </row>
    <row r="28" spans="1:19" ht="20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36"/>
      <c r="M28" s="36"/>
    </row>
    <row r="29" spans="1:19" ht="20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6"/>
    </row>
    <row r="30" spans="1:19" ht="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</row>
    <row r="31" spans="1:19" ht="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</row>
    <row r="32" spans="1:19" ht="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</row>
    <row r="33" spans="1:13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</row>
    <row r="34" spans="1:13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</row>
    <row r="35" spans="1:13" ht="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3">
    <mergeCell ref="A1:B1"/>
    <mergeCell ref="A14:B14"/>
    <mergeCell ref="O15:S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S47"/>
  <sheetViews>
    <sheetView zoomScale="125" zoomScaleNormal="125" zoomScalePageLayoutView="125" workbookViewId="0">
      <selection activeCell="C16" sqref="C16"/>
    </sheetView>
  </sheetViews>
  <sheetFormatPr baseColWidth="10" defaultRowHeight="15" x14ac:dyDescent="0"/>
  <cols>
    <col min="1" max="1" width="19.1640625" customWidth="1"/>
    <col min="2" max="2" width="21.6640625" customWidth="1"/>
    <col min="3" max="4" width="14" customWidth="1"/>
    <col min="5" max="5" width="15.83203125" customWidth="1"/>
    <col min="6" max="8" width="14" customWidth="1"/>
    <col min="9" max="9" width="23.5" customWidth="1"/>
    <col min="10" max="10" width="15.83203125" customWidth="1"/>
    <col min="11" max="11" width="17.33203125" customWidth="1"/>
    <col min="12" max="13" width="14.5" bestFit="1" customWidth="1"/>
  </cols>
  <sheetData>
    <row r="1" spans="1:19">
      <c r="A1" s="53" t="s">
        <v>36</v>
      </c>
      <c r="B1" s="51"/>
      <c r="C1" s="42"/>
      <c r="D1" s="42" t="s">
        <v>43</v>
      </c>
      <c r="E1" s="43"/>
    </row>
    <row r="2" spans="1:19">
      <c r="A2" s="38" t="s">
        <v>37</v>
      </c>
      <c r="B2" s="40" t="s">
        <v>47</v>
      </c>
      <c r="C2" s="44"/>
      <c r="D2" s="44" t="s">
        <v>22</v>
      </c>
      <c r="E2" s="44" t="s">
        <v>42</v>
      </c>
    </row>
    <row r="3" spans="1:19">
      <c r="A3" s="39">
        <v>122.12130000000001</v>
      </c>
      <c r="B3" s="46">
        <f>((A5*E3)/1000)*A3</f>
        <v>3228.4213525132805</v>
      </c>
      <c r="C3" s="45"/>
      <c r="D3" s="45">
        <v>1</v>
      </c>
      <c r="E3" s="45">
        <v>4.1840000000000002</v>
      </c>
    </row>
    <row r="4" spans="1:19">
      <c r="A4" s="40" t="s">
        <v>38</v>
      </c>
      <c r="B4" s="40" t="s">
        <v>48</v>
      </c>
      <c r="C4" s="44" t="s">
        <v>46</v>
      </c>
    </row>
    <row r="5" spans="1:19">
      <c r="A5" s="41">
        <v>6318.4</v>
      </c>
      <c r="B5" s="41">
        <v>3228.29</v>
      </c>
      <c r="C5" s="45" t="s">
        <v>45</v>
      </c>
    </row>
    <row r="6" spans="1:19">
      <c r="A6" s="40" t="s">
        <v>41</v>
      </c>
    </row>
    <row r="7" spans="1:19">
      <c r="A7" s="41">
        <v>6323</v>
      </c>
    </row>
    <row r="8" spans="1:19">
      <c r="A8" s="40" t="s">
        <v>39</v>
      </c>
    </row>
    <row r="9" spans="1:19">
      <c r="A9" s="41">
        <v>11373</v>
      </c>
    </row>
    <row r="10" spans="1:19">
      <c r="A10" s="38" t="s">
        <v>40</v>
      </c>
    </row>
    <row r="11" spans="1:19">
      <c r="A11" s="41">
        <v>26.452999999999999</v>
      </c>
    </row>
    <row r="12" spans="1:19">
      <c r="A12" s="40" t="s">
        <v>44</v>
      </c>
    </row>
    <row r="13" spans="1:19">
      <c r="A13" s="41">
        <v>3228.29</v>
      </c>
    </row>
    <row r="14" spans="1:19" ht="61" customHeight="1">
      <c r="A14" s="50" t="s">
        <v>32</v>
      </c>
      <c r="B14" s="51"/>
      <c r="C14" s="48"/>
      <c r="D14" s="48"/>
      <c r="E14" s="48"/>
      <c r="F14" s="48"/>
      <c r="G14" s="48"/>
      <c r="H14" s="48"/>
      <c r="I14" s="48"/>
      <c r="J14" s="48"/>
      <c r="K14" s="48"/>
    </row>
    <row r="15" spans="1:19" ht="120">
      <c r="A15" s="48"/>
      <c r="B15" s="48" t="s">
        <v>0</v>
      </c>
      <c r="C15" s="4" t="s">
        <v>10</v>
      </c>
      <c r="D15" s="4" t="s">
        <v>11</v>
      </c>
      <c r="E15" s="4" t="s">
        <v>30</v>
      </c>
      <c r="F15" s="4" t="s">
        <v>29</v>
      </c>
      <c r="G15" s="4"/>
      <c r="H15" s="4" t="s">
        <v>14</v>
      </c>
      <c r="I15" s="48" t="s">
        <v>1</v>
      </c>
      <c r="J15" s="4" t="s">
        <v>2</v>
      </c>
      <c r="K15" s="4" t="s">
        <v>12</v>
      </c>
      <c r="L15" s="48" t="s">
        <v>54</v>
      </c>
      <c r="M15" s="48" t="s">
        <v>55</v>
      </c>
      <c r="N15" s="1"/>
      <c r="O15" s="52" t="s">
        <v>49</v>
      </c>
      <c r="P15" s="52"/>
      <c r="Q15" s="52"/>
      <c r="R15" s="52"/>
      <c r="S15" s="52"/>
    </row>
    <row r="16" spans="1:19" ht="35" customHeight="1">
      <c r="A16" s="1"/>
      <c r="B16" s="1"/>
      <c r="C16" s="1"/>
      <c r="D16" s="1"/>
      <c r="E16" s="2">
        <v>14.1</v>
      </c>
      <c r="F16" s="2">
        <v>7.0900000000000005E-2</v>
      </c>
      <c r="G16" s="2"/>
      <c r="H16" s="1"/>
      <c r="I16" s="1"/>
      <c r="J16" s="1"/>
      <c r="K16" s="12" t="s">
        <v>16</v>
      </c>
      <c r="L16" s="1"/>
      <c r="M16" s="1"/>
      <c r="N16" s="2"/>
      <c r="O16" s="49"/>
    </row>
    <row r="17" spans="1:19" ht="20">
      <c r="A17" s="2"/>
      <c r="B17" s="2" t="s">
        <v>15</v>
      </c>
      <c r="C17" s="2"/>
      <c r="D17" s="2"/>
      <c r="E17" s="2"/>
      <c r="F17" s="2"/>
      <c r="G17" s="2"/>
      <c r="H17" s="2"/>
      <c r="I17" s="2"/>
      <c r="J17" s="24">
        <f>'Calabration Bomb2'!H10</f>
        <v>534.23600998773486</v>
      </c>
      <c r="K17" s="2">
        <f>'Calabration Bomb2'!I5</f>
        <v>6318.4</v>
      </c>
      <c r="L17" s="49"/>
      <c r="M17" s="1"/>
      <c r="N17" s="19"/>
      <c r="O17" s="20"/>
      <c r="P17" s="21"/>
      <c r="Q17" s="21"/>
      <c r="R17" s="21"/>
      <c r="S17" s="21"/>
    </row>
    <row r="18" spans="1:19" ht="20">
      <c r="A18" s="2"/>
      <c r="B18" s="2"/>
      <c r="C18" s="2"/>
      <c r="D18" s="2"/>
      <c r="E18" s="48" t="s">
        <v>31</v>
      </c>
      <c r="F18" s="2"/>
      <c r="G18" s="2"/>
      <c r="H18" s="2"/>
      <c r="I18" s="2"/>
      <c r="J18" s="2"/>
      <c r="K18" s="2"/>
      <c r="L18" s="48"/>
      <c r="M18" s="48"/>
      <c r="N18" s="22"/>
      <c r="O18" s="22" t="s">
        <v>23</v>
      </c>
      <c r="P18" s="22" t="s">
        <v>22</v>
      </c>
      <c r="Q18" s="22" t="s">
        <v>24</v>
      </c>
      <c r="R18" s="22" t="s">
        <v>22</v>
      </c>
      <c r="S18" s="22" t="s">
        <v>8</v>
      </c>
    </row>
    <row r="19" spans="1:19" s="8" customFormat="1" ht="20">
      <c r="A19" s="7"/>
      <c r="B19" s="7" t="s">
        <v>56</v>
      </c>
      <c r="C19" s="7">
        <v>6.7835999999999999E-3</v>
      </c>
      <c r="D19" s="7">
        <v>3.5376999999999999E-2</v>
      </c>
      <c r="E19" s="7">
        <v>0</v>
      </c>
      <c r="F19" s="37">
        <f>E19*$E$16*$F$16</f>
        <v>0</v>
      </c>
      <c r="G19" s="37"/>
      <c r="H19" s="37">
        <f>S19</f>
        <v>11.767559999999998</v>
      </c>
      <c r="I19" s="7">
        <v>0.47220000000000001</v>
      </c>
      <c r="J19" s="7"/>
      <c r="K19" s="35">
        <f>((I19)*(J$17)-H19-F19-(K$17)*(D19))/C19</f>
        <v>2502.0117807960974</v>
      </c>
      <c r="L19" s="35">
        <f>K19*$E$3</f>
        <v>10468.417290850872</v>
      </c>
      <c r="M19" s="35">
        <f>L19/1000</f>
        <v>10.468417290850871</v>
      </c>
      <c r="N19" s="28"/>
      <c r="O19" s="21">
        <v>1.4833799999999999E-2</v>
      </c>
      <c r="P19" s="21">
        <f>O19*1400</f>
        <v>20.767319999999998</v>
      </c>
      <c r="Q19" s="21">
        <v>6.4283999999999999E-3</v>
      </c>
      <c r="R19" s="21">
        <f>Q19*1400</f>
        <v>8.9997600000000002</v>
      </c>
      <c r="S19" s="21">
        <f>P19-R19</f>
        <v>11.767559999999998</v>
      </c>
    </row>
    <row r="20" spans="1:19" s="8" customFormat="1" ht="20">
      <c r="A20" s="7"/>
      <c r="B20" s="7" t="s">
        <v>56</v>
      </c>
      <c r="C20" s="7">
        <v>6.9305E-3</v>
      </c>
      <c r="D20" s="7">
        <v>3.5763900000000001E-2</v>
      </c>
      <c r="E20" s="7">
        <v>0</v>
      </c>
      <c r="F20" s="37">
        <f>E20*$E$16*$F$16</f>
        <v>0</v>
      </c>
      <c r="G20" s="37"/>
      <c r="H20" s="37">
        <f>S20</f>
        <v>12.549039999999998</v>
      </c>
      <c r="I20" s="7">
        <v>0.47749999999999998</v>
      </c>
      <c r="J20" s="14"/>
      <c r="K20" s="35">
        <f>((I20)*(J$17)-H20-F20-(K$17)*(D20))/C20</f>
        <v>2392.039392416621</v>
      </c>
      <c r="L20" s="35">
        <f t="shared" ref="L20:L21" si="0">K20*$E$3</f>
        <v>10008.292817871143</v>
      </c>
      <c r="M20" s="35">
        <f t="shared" ref="M20:M21" si="1">L20/1000</f>
        <v>10.008292817871142</v>
      </c>
      <c r="N20" s="28"/>
      <c r="O20" s="21">
        <v>1.4664399999999999E-2</v>
      </c>
      <c r="P20" s="21">
        <f t="shared" ref="P20:P21" si="2">O20*1400</f>
        <v>20.530159999999999</v>
      </c>
      <c r="Q20" s="21">
        <v>5.7007999999999998E-3</v>
      </c>
      <c r="R20" s="21">
        <f t="shared" ref="R20:R21" si="3">Q20*1400</f>
        <v>7.9811199999999998</v>
      </c>
      <c r="S20" s="21">
        <f t="shared" ref="S20:S21" si="4">P20-R20</f>
        <v>12.549039999999998</v>
      </c>
    </row>
    <row r="21" spans="1:19" s="8" customFormat="1" ht="20">
      <c r="A21" s="7"/>
      <c r="B21" s="7" t="s">
        <v>56</v>
      </c>
      <c r="C21" s="7">
        <v>5.3699999999999998E-3</v>
      </c>
      <c r="D21" s="7">
        <v>3.6260599999999997E-2</v>
      </c>
      <c r="E21" s="7">
        <v>0</v>
      </c>
      <c r="F21" s="37">
        <f>E21*$E$16*$F$16</f>
        <v>0</v>
      </c>
      <c r="G21" s="37"/>
      <c r="H21" s="37">
        <f>S21</f>
        <v>16.842140000000001</v>
      </c>
      <c r="I21" s="30">
        <v>0.48570000000000002</v>
      </c>
      <c r="J21" s="7"/>
      <c r="K21" s="35">
        <f>((I21)*(J$17)-H21-F21-(K$17)*(D21))/C21</f>
        <v>2519.0530746820996</v>
      </c>
      <c r="L21" s="35">
        <f t="shared" si="0"/>
        <v>10539.718064469906</v>
      </c>
      <c r="M21" s="35">
        <f t="shared" si="1"/>
        <v>10.539718064469906</v>
      </c>
      <c r="N21" s="28"/>
      <c r="O21" s="23">
        <v>1.46321E-2</v>
      </c>
      <c r="P21" s="21">
        <f t="shared" si="2"/>
        <v>20.484940000000002</v>
      </c>
      <c r="Q21" s="21">
        <v>2.6020000000000001E-3</v>
      </c>
      <c r="R21" s="21">
        <f t="shared" si="3"/>
        <v>3.6428000000000003</v>
      </c>
      <c r="S21" s="21">
        <f t="shared" si="4"/>
        <v>16.842140000000001</v>
      </c>
    </row>
    <row r="22" spans="1:19" ht="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9" ht="20">
      <c r="A23" s="2"/>
      <c r="B23" s="2"/>
      <c r="C23" s="2"/>
      <c r="D23" s="2"/>
      <c r="E23" s="2"/>
      <c r="F23" s="2"/>
      <c r="G23" s="2"/>
      <c r="H23" s="2"/>
      <c r="I23" s="48" t="s">
        <v>57</v>
      </c>
      <c r="J23" s="2" t="s">
        <v>53</v>
      </c>
      <c r="K23" s="36">
        <f>AVERAGE(K19:K21)</f>
        <v>2471.0347492982723</v>
      </c>
      <c r="L23" s="36">
        <f>AVERAGE(L19:L21)</f>
        <v>10338.809391063973</v>
      </c>
      <c r="M23" s="36">
        <f>AVERAGE(M19:M21)</f>
        <v>10.338809391063974</v>
      </c>
    </row>
    <row r="24" spans="1:19" ht="20">
      <c r="A24" s="2"/>
      <c r="B24" s="2"/>
      <c r="C24" s="2"/>
      <c r="D24" s="2"/>
      <c r="E24" s="2"/>
      <c r="F24" s="2"/>
      <c r="G24" s="2"/>
      <c r="H24" s="2"/>
      <c r="I24" s="2"/>
      <c r="J24" s="2" t="s">
        <v>6</v>
      </c>
      <c r="K24" s="36">
        <f>STDEV(K19:K21)</f>
        <v>68.940563030569336</v>
      </c>
      <c r="L24" s="36">
        <f>STDEV(L19:L21)</f>
        <v>288.44731571990235</v>
      </c>
      <c r="M24" s="36">
        <f>STDEV(M19:M21)</f>
        <v>0.28844731571990234</v>
      </c>
    </row>
    <row r="25" spans="1:19" ht="20">
      <c r="A25" s="2"/>
      <c r="B25" s="2"/>
      <c r="C25" s="2"/>
      <c r="D25" s="2"/>
      <c r="E25" s="2"/>
      <c r="F25" s="2"/>
      <c r="G25" s="2"/>
      <c r="H25" s="2"/>
      <c r="I25" s="2"/>
      <c r="J25" s="2" t="s">
        <v>5</v>
      </c>
      <c r="K25" s="6">
        <f>K24/K23</f>
        <v>2.7899471284305963E-2</v>
      </c>
      <c r="L25" s="6">
        <f>L24/L23</f>
        <v>2.7899471284305984E-2</v>
      </c>
      <c r="M25" s="6">
        <f>M24/M23</f>
        <v>2.789947128430598E-2</v>
      </c>
    </row>
    <row r="26" spans="1:19" ht="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</row>
    <row r="27" spans="1:19" ht="20">
      <c r="A27" s="2"/>
      <c r="B27" s="2"/>
      <c r="C27" s="2"/>
      <c r="D27" s="2"/>
      <c r="E27" s="2"/>
      <c r="F27" s="2"/>
      <c r="G27" s="2"/>
      <c r="H27" s="2"/>
      <c r="I27" s="48"/>
      <c r="J27" s="2"/>
      <c r="K27" s="36"/>
      <c r="L27" s="36"/>
      <c r="M27" s="36"/>
    </row>
    <row r="28" spans="1:19" ht="20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36"/>
      <c r="M28" s="36"/>
    </row>
    <row r="29" spans="1:19" ht="20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6"/>
    </row>
    <row r="30" spans="1:19" ht="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</row>
    <row r="31" spans="1:19" ht="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</row>
    <row r="32" spans="1:19" ht="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</row>
    <row r="33" spans="1:13" ht="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</row>
    <row r="34" spans="1:13" ht="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</row>
    <row r="35" spans="1:13" ht="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3">
    <mergeCell ref="A1:B1"/>
    <mergeCell ref="A14:B14"/>
    <mergeCell ref="O15:S1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Calabration Bomb2</vt:lpstr>
      <vt:lpstr>Benzoic &amp; PLK check standard</vt:lpstr>
      <vt:lpstr>sedtrap with correction</vt:lpstr>
      <vt:lpstr>sedtrap with no N correction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Grabowski</dc:creator>
  <cp:lastModifiedBy>Eric  Grabowski</cp:lastModifiedBy>
  <dcterms:created xsi:type="dcterms:W3CDTF">2013-05-31T22:07:55Z</dcterms:created>
  <dcterms:modified xsi:type="dcterms:W3CDTF">2019-03-21T13:14:56Z</dcterms:modified>
</cp:coreProperties>
</file>