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3180" yWindow="0" windowWidth="22360" windowHeight="15600" tabRatio="500"/>
  </bookViews>
  <sheets>
    <sheet name="Calabration Bomb2" sheetId="5" r:id="rId1"/>
    <sheet name="Benzoic &amp; PLK check standard" sheetId="3" r:id="rId2"/>
    <sheet name="sedtrap with correction" sheetId="11" r:id="rId3"/>
    <sheet name="sedtrap with no N correction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5" l="1"/>
  <c r="P5" i="5"/>
  <c r="Q5" i="5"/>
  <c r="F5" i="5"/>
  <c r="E5" i="5"/>
  <c r="H5" i="5"/>
  <c r="H10" i="5"/>
  <c r="J17" i="3"/>
  <c r="K22" i="3"/>
  <c r="Q22" i="3"/>
  <c r="R22" i="3"/>
  <c r="K23" i="3"/>
  <c r="Q23" i="3"/>
  <c r="R23" i="3"/>
  <c r="J17" i="11"/>
  <c r="P23" i="11"/>
  <c r="R23" i="11"/>
  <c r="S23" i="11"/>
  <c r="H23" i="11"/>
  <c r="F23" i="11"/>
  <c r="I5" i="5"/>
  <c r="K17" i="11"/>
  <c r="K23" i="11"/>
  <c r="L23" i="11"/>
  <c r="M23" i="11"/>
  <c r="P22" i="11"/>
  <c r="R22" i="11"/>
  <c r="S22" i="11"/>
  <c r="H22" i="11"/>
  <c r="F22" i="11"/>
  <c r="K22" i="11"/>
  <c r="L22" i="11"/>
  <c r="M22" i="11"/>
  <c r="M30" i="11"/>
  <c r="M29" i="11"/>
  <c r="M31" i="11"/>
  <c r="L30" i="11"/>
  <c r="L29" i="11"/>
  <c r="L31" i="11"/>
  <c r="K30" i="11"/>
  <c r="K29" i="11"/>
  <c r="K31" i="11"/>
  <c r="P19" i="11"/>
  <c r="R19" i="11"/>
  <c r="S19" i="11"/>
  <c r="H19" i="11"/>
  <c r="F19" i="11"/>
  <c r="K19" i="11"/>
  <c r="L19" i="11"/>
  <c r="M19" i="11"/>
  <c r="P20" i="11"/>
  <c r="R20" i="11"/>
  <c r="S20" i="11"/>
  <c r="H20" i="11"/>
  <c r="F20" i="11"/>
  <c r="K20" i="11"/>
  <c r="L20" i="11"/>
  <c r="M20" i="11"/>
  <c r="P21" i="11"/>
  <c r="R21" i="11"/>
  <c r="S21" i="11"/>
  <c r="H21" i="11"/>
  <c r="F21" i="11"/>
  <c r="K21" i="11"/>
  <c r="L21" i="11"/>
  <c r="M21" i="11"/>
  <c r="M26" i="11"/>
  <c r="M25" i="11"/>
  <c r="M27" i="11"/>
  <c r="L26" i="11"/>
  <c r="L25" i="11"/>
  <c r="L27" i="11"/>
  <c r="K26" i="11"/>
  <c r="K25" i="11"/>
  <c r="K27" i="11"/>
  <c r="B3" i="11"/>
  <c r="J17" i="6"/>
  <c r="P23" i="6"/>
  <c r="R23" i="6"/>
  <c r="S23" i="6"/>
  <c r="H23" i="6"/>
  <c r="F23" i="6"/>
  <c r="K17" i="6"/>
  <c r="K23" i="6"/>
  <c r="L23" i="6"/>
  <c r="M23" i="6"/>
  <c r="P22" i="6"/>
  <c r="R22" i="6"/>
  <c r="S22" i="6"/>
  <c r="H22" i="6"/>
  <c r="F22" i="6"/>
  <c r="K22" i="6"/>
  <c r="L22" i="6"/>
  <c r="M22" i="6"/>
  <c r="M30" i="6"/>
  <c r="M29" i="6"/>
  <c r="M31" i="6"/>
  <c r="L30" i="6"/>
  <c r="L29" i="6"/>
  <c r="L31" i="6"/>
  <c r="P19" i="6"/>
  <c r="R19" i="6"/>
  <c r="S19" i="6"/>
  <c r="H19" i="6"/>
  <c r="F19" i="6"/>
  <c r="K19" i="6"/>
  <c r="L19" i="6"/>
  <c r="M19" i="6"/>
  <c r="P20" i="6"/>
  <c r="R20" i="6"/>
  <c r="S20" i="6"/>
  <c r="H20" i="6"/>
  <c r="F20" i="6"/>
  <c r="K20" i="6"/>
  <c r="L20" i="6"/>
  <c r="M20" i="6"/>
  <c r="P21" i="6"/>
  <c r="R21" i="6"/>
  <c r="S21" i="6"/>
  <c r="H21" i="6"/>
  <c r="F21" i="6"/>
  <c r="K21" i="6"/>
  <c r="L21" i="6"/>
  <c r="M21" i="6"/>
  <c r="M26" i="6"/>
  <c r="M25" i="6"/>
  <c r="M27" i="6"/>
  <c r="L26" i="6"/>
  <c r="L25" i="6"/>
  <c r="L27" i="6"/>
  <c r="B3" i="6"/>
  <c r="W20" i="3"/>
  <c r="Y20" i="3"/>
  <c r="Z20" i="3"/>
  <c r="H20" i="3"/>
  <c r="F20" i="3"/>
  <c r="K20" i="3"/>
  <c r="P20" i="3"/>
  <c r="W19" i="3"/>
  <c r="Y19" i="3"/>
  <c r="Z19" i="3"/>
  <c r="H19" i="3"/>
  <c r="F19" i="3"/>
  <c r="K19" i="3"/>
  <c r="P19" i="3"/>
  <c r="N20" i="3"/>
  <c r="O20" i="3"/>
  <c r="N19" i="3"/>
  <c r="O19" i="3"/>
  <c r="Q20" i="3"/>
  <c r="R20" i="3"/>
  <c r="T20" i="3"/>
  <c r="Q19" i="3"/>
  <c r="R19" i="3"/>
  <c r="T19" i="3"/>
  <c r="B3" i="3"/>
  <c r="W23" i="3"/>
  <c r="Y23" i="3"/>
  <c r="Z23" i="3"/>
  <c r="H23" i="3"/>
  <c r="W22" i="3"/>
  <c r="Y22" i="3"/>
  <c r="Z22" i="3"/>
  <c r="H22" i="3"/>
  <c r="F22" i="3"/>
  <c r="F23" i="3"/>
  <c r="S20" i="3"/>
  <c r="L20" i="3"/>
  <c r="M20" i="3"/>
  <c r="K30" i="6"/>
  <c r="K29" i="6"/>
  <c r="K31" i="6"/>
  <c r="K26" i="6"/>
  <c r="K25" i="6"/>
  <c r="K27" i="6"/>
  <c r="K5" i="5"/>
  <c r="S19" i="3"/>
  <c r="L19" i="3"/>
  <c r="M19" i="3"/>
</calcChain>
</file>

<file path=xl/sharedStrings.xml><?xml version="1.0" encoding="utf-8"?>
<sst xmlns="http://schemas.openxmlformats.org/spreadsheetml/2006/main" count="163" uniqueCount="62">
  <si>
    <t>Sample Name</t>
  </si>
  <si>
    <t>(T) Change in Temp.</t>
  </si>
  <si>
    <t>(w) energy equivalent of calorimeter in calories per degree C</t>
  </si>
  <si>
    <t>(m)Weight in grams</t>
  </si>
  <si>
    <t>11373 Btu/lb</t>
  </si>
  <si>
    <t>CV</t>
  </si>
  <si>
    <t>STDEV</t>
  </si>
  <si>
    <t>Benzoic Acid Expected</t>
  </si>
  <si>
    <t>wire used</t>
  </si>
  <si>
    <t>Benzoic Average</t>
  </si>
  <si>
    <t>(m)Weight in grams of sample</t>
  </si>
  <si>
    <t>(m)Weight in grams of spike used</t>
  </si>
  <si>
    <t>(Hc) gross heat of combustion in calories per gram</t>
  </si>
  <si>
    <t>BZ-check</t>
  </si>
  <si>
    <t>wire used (cal)</t>
  </si>
  <si>
    <t xml:space="preserve">Benzoic </t>
  </si>
  <si>
    <t>international Steam Table</t>
  </si>
  <si>
    <t>kJ/mol</t>
  </si>
  <si>
    <t>kJ/g</t>
  </si>
  <si>
    <t>(Hg) gross heat of combustion in calories per gram (IT)</t>
  </si>
  <si>
    <t>(Hg) gross heat of combustion in calories (IT) per gram</t>
  </si>
  <si>
    <t>.</t>
  </si>
  <si>
    <t>cal</t>
  </si>
  <si>
    <t>start (g)</t>
  </si>
  <si>
    <t>end (g)</t>
  </si>
  <si>
    <t>Btu/Ib</t>
  </si>
  <si>
    <t>Net heat of combustion in calories per gram (IT)</t>
  </si>
  <si>
    <t>Net heat of combustion in Btu/lb-Hydrogen content corrected</t>
  </si>
  <si>
    <t>6318.4 cal/g</t>
  </si>
  <si>
    <t>Nitric Acid Correction</t>
  </si>
  <si>
    <t>Heat of Formation of Nitric Acid calories/milliequivalant</t>
  </si>
  <si>
    <t>mL of titrant</t>
  </si>
  <si>
    <t>HOE-PhoR II - Sed Traps</t>
  </si>
  <si>
    <t>HOE-PhoR II 100m</t>
  </si>
  <si>
    <t>100m</t>
  </si>
  <si>
    <t>HOE-PhoR II 500m</t>
  </si>
  <si>
    <t>500m</t>
  </si>
  <si>
    <t>Plankton</t>
  </si>
  <si>
    <t>with correction</t>
  </si>
  <si>
    <t>without</t>
  </si>
  <si>
    <t>Benzoic Acid:</t>
  </si>
  <si>
    <t>g/mol</t>
  </si>
  <si>
    <t>cal/g</t>
  </si>
  <si>
    <t>Btu/lb</t>
  </si>
  <si>
    <t>MJ/kg</t>
  </si>
  <si>
    <t>thermochemical cal</t>
  </si>
  <si>
    <t>J</t>
  </si>
  <si>
    <t>conversion:</t>
  </si>
  <si>
    <t>kJ/mol (measured)</t>
  </si>
  <si>
    <t>±4</t>
  </si>
  <si>
    <t>SD</t>
  </si>
  <si>
    <t>kJ/mol (calculated)</t>
  </si>
  <si>
    <t>kJ/mol (literature)</t>
  </si>
  <si>
    <t>Wire calculation 1 cm = 2.3 cal or 1400 cal/g</t>
  </si>
  <si>
    <t>Measured - Expected</t>
  </si>
  <si>
    <t>% Diff.</t>
  </si>
  <si>
    <t>% Recovery</t>
  </si>
  <si>
    <t>Diff.</t>
  </si>
  <si>
    <t>% Diff</t>
  </si>
  <si>
    <t>Average</t>
  </si>
  <si>
    <t>J/g</t>
  </si>
  <si>
    <t>J/mg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</si>
</sst>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0"/>
  </numFmts>
  <fonts count="16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6"/>
      <color rgb="FFFF0000"/>
      <name val="Calibri"/>
      <scheme val="minor"/>
    </font>
    <font>
      <sz val="12"/>
      <name val="Calibri"/>
      <scheme val="minor"/>
    </font>
    <font>
      <sz val="16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scheme val="minor"/>
    </font>
    <font>
      <b/>
      <sz val="12"/>
      <color rgb="FFFF0000"/>
      <name val="Calibri"/>
      <scheme val="minor"/>
    </font>
    <font>
      <sz val="16"/>
      <name val="Calibri"/>
      <scheme val="minor"/>
    </font>
    <font>
      <sz val="8"/>
      <name val="Calibri"/>
      <family val="2"/>
      <scheme val="minor"/>
    </font>
    <font>
      <b/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0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10" fontId="1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/>
    <xf numFmtId="10" fontId="1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2" borderId="0" xfId="0" applyFont="1" applyFill="1"/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2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</cellXfs>
  <cellStyles count="3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125" zoomScaleNormal="125" zoomScalePageLayoutView="125" workbookViewId="0">
      <selection sqref="A1:B1"/>
    </sheetView>
  </sheetViews>
  <sheetFormatPr baseColWidth="10" defaultRowHeight="15" x14ac:dyDescent="0"/>
  <cols>
    <col min="1" max="1" width="19.1640625" customWidth="1"/>
    <col min="2" max="2" width="18" customWidth="1"/>
    <col min="3" max="3" width="14" customWidth="1"/>
    <col min="4" max="4" width="15.33203125" customWidth="1"/>
    <col min="5" max="6" width="14" customWidth="1"/>
    <col min="7" max="7" width="23.5" customWidth="1"/>
    <col min="8" max="8" width="15.83203125" customWidth="1"/>
    <col min="9" max="9" width="17.33203125" customWidth="1"/>
    <col min="10" max="10" width="18.5" customWidth="1"/>
    <col min="17" max="17" width="11.5" customWidth="1"/>
  </cols>
  <sheetData>
    <row r="1" spans="1:17" ht="61" customHeight="1">
      <c r="A1" s="51" t="s">
        <v>7</v>
      </c>
      <c r="B1" s="52"/>
      <c r="C1" s="16"/>
      <c r="D1" s="16"/>
      <c r="E1" s="16"/>
      <c r="F1" s="16"/>
      <c r="G1" s="16"/>
      <c r="H1" s="16"/>
      <c r="I1" s="16" t="s">
        <v>28</v>
      </c>
      <c r="J1" s="5" t="s">
        <v>4</v>
      </c>
      <c r="L1" s="1"/>
    </row>
    <row r="2" spans="1:17" ht="120">
      <c r="A2" s="16"/>
      <c r="B2" s="16" t="s">
        <v>0</v>
      </c>
      <c r="C2" s="4" t="s">
        <v>3</v>
      </c>
      <c r="D2" s="4" t="s">
        <v>30</v>
      </c>
      <c r="E2" s="4" t="s">
        <v>29</v>
      </c>
      <c r="F2" s="4" t="s">
        <v>8</v>
      </c>
      <c r="G2" s="16" t="s">
        <v>1</v>
      </c>
      <c r="H2" s="4" t="s">
        <v>2</v>
      </c>
      <c r="I2" s="4" t="s">
        <v>20</v>
      </c>
      <c r="J2" s="1"/>
      <c r="K2" s="1"/>
      <c r="L2" s="2"/>
      <c r="M2" s="53" t="s">
        <v>53</v>
      </c>
      <c r="N2" s="53"/>
      <c r="O2" s="53"/>
      <c r="P2" s="53"/>
      <c r="Q2" s="53"/>
    </row>
    <row r="3" spans="1:17" ht="20">
      <c r="A3" s="1"/>
      <c r="B3" s="1"/>
      <c r="C3" s="1"/>
      <c r="D3" s="16">
        <v>14.1</v>
      </c>
      <c r="E3" s="16">
        <v>7.0900000000000005E-2</v>
      </c>
      <c r="F3" s="1"/>
      <c r="G3" s="1"/>
      <c r="H3" s="1"/>
      <c r="I3" s="1"/>
      <c r="J3" s="1"/>
      <c r="K3" s="1"/>
      <c r="L3" s="16"/>
      <c r="M3" s="16" t="s">
        <v>23</v>
      </c>
      <c r="N3" s="16" t="s">
        <v>22</v>
      </c>
      <c r="O3" s="16" t="s">
        <v>24</v>
      </c>
      <c r="P3" s="16" t="s">
        <v>22</v>
      </c>
      <c r="Q3" s="16" t="s">
        <v>8</v>
      </c>
    </row>
    <row r="5" spans="1:17" ht="20">
      <c r="A5" s="2"/>
      <c r="B5" s="2" t="s">
        <v>15</v>
      </c>
      <c r="C5" s="2">
        <v>0.1938761</v>
      </c>
      <c r="D5" s="2">
        <v>1.3</v>
      </c>
      <c r="E5" s="2">
        <f t="shared" ref="E5" si="0">D5*$D$3*$E$3</f>
        <v>1.2995970000000001</v>
      </c>
      <c r="F5" s="26">
        <f>Q5</f>
        <v>14.901879999999998</v>
      </c>
      <c r="G5" s="2">
        <v>2.3210999999999999</v>
      </c>
      <c r="H5" s="2">
        <f t="shared" ref="H5" si="1">((C5*6318.4)+F5+E5)/G5</f>
        <v>534.74138436086332</v>
      </c>
      <c r="I5" s="2">
        <f t="shared" ref="I5" si="2">((G5*H5)-F5-E5)/C5</f>
        <v>6318.4000000000005</v>
      </c>
      <c r="J5" s="2">
        <v>11376.463</v>
      </c>
      <c r="K5" s="15">
        <f>J5/11373</f>
        <v>1.0003044930976874</v>
      </c>
      <c r="L5" s="8"/>
      <c r="M5" s="8">
        <v>1.49283E-2</v>
      </c>
      <c r="N5" s="8">
        <f>M5*1400</f>
        <v>20.899619999999999</v>
      </c>
      <c r="O5" s="8">
        <v>4.2840999999999999E-3</v>
      </c>
      <c r="P5">
        <f t="shared" ref="P5" si="3">O5*1400</f>
        <v>5.9977399999999994</v>
      </c>
      <c r="Q5" s="25">
        <f t="shared" ref="Q5" si="4">N5-P5</f>
        <v>14.901879999999998</v>
      </c>
    </row>
    <row r="8" spans="1:17" ht="20">
      <c r="A8" s="2"/>
      <c r="B8" s="2"/>
      <c r="C8" s="2"/>
      <c r="D8" s="2"/>
      <c r="E8" s="2"/>
      <c r="F8" s="2"/>
      <c r="G8" s="2"/>
      <c r="H8" s="2"/>
      <c r="I8" s="2"/>
      <c r="J8" s="1"/>
      <c r="K8" s="1"/>
      <c r="L8" s="8"/>
      <c r="M8" s="18"/>
      <c r="N8" s="8"/>
      <c r="O8" s="8"/>
      <c r="P8" s="8"/>
      <c r="Q8" s="8"/>
    </row>
    <row r="9" spans="1:17" ht="20">
      <c r="A9" s="2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</row>
    <row r="10" spans="1:17" ht="20">
      <c r="A10" s="2"/>
      <c r="B10" s="2"/>
      <c r="C10" s="2"/>
      <c r="D10" s="2"/>
      <c r="E10" s="2"/>
      <c r="F10" s="2"/>
      <c r="G10" s="2" t="s">
        <v>59</v>
      </c>
      <c r="H10" s="2">
        <f>H5</f>
        <v>534.74138436086332</v>
      </c>
      <c r="L10" s="1"/>
      <c r="M10" s="1"/>
    </row>
    <row r="11" spans="1:17" ht="20">
      <c r="A11" s="2"/>
      <c r="B11" s="2"/>
      <c r="C11" s="2"/>
      <c r="D11" s="2"/>
      <c r="E11" s="2"/>
      <c r="F11" s="2"/>
      <c r="G11" s="2"/>
      <c r="H11" s="2"/>
      <c r="L11" s="1"/>
      <c r="M11" s="1"/>
    </row>
    <row r="12" spans="1:17" ht="20">
      <c r="A12" s="2"/>
      <c r="B12" s="2"/>
      <c r="C12" s="2"/>
      <c r="D12" s="2"/>
      <c r="E12" s="2"/>
      <c r="F12" s="2"/>
      <c r="G12" s="2"/>
      <c r="H12" s="6"/>
      <c r="L12" s="1"/>
      <c r="M12" s="1"/>
    </row>
    <row r="13" spans="1:17" ht="20">
      <c r="A13" s="2"/>
      <c r="B13" s="2"/>
      <c r="C13" s="2"/>
      <c r="D13" s="2"/>
      <c r="E13" s="2"/>
      <c r="F13" s="2"/>
      <c r="G13" s="2"/>
      <c r="H13" s="2"/>
      <c r="L13" s="1"/>
      <c r="M13" s="1"/>
    </row>
    <row r="14" spans="1:17" ht="20">
      <c r="A14" s="2"/>
      <c r="B14" s="2"/>
      <c r="C14" s="2"/>
      <c r="D14" s="2"/>
      <c r="E14" s="2"/>
      <c r="F14" s="2"/>
      <c r="G14" s="2"/>
      <c r="H14" s="2"/>
      <c r="L14" s="1"/>
      <c r="M14" s="1"/>
    </row>
    <row r="15" spans="1:17" ht="20">
      <c r="A15" s="2"/>
      <c r="B15" s="2"/>
      <c r="C15" s="2"/>
      <c r="D15" s="2"/>
      <c r="E15" s="2"/>
      <c r="F15" s="2"/>
      <c r="G15" s="2"/>
      <c r="H15" s="2"/>
      <c r="I15" s="2"/>
      <c r="J15" s="1"/>
      <c r="K15" s="1" t="s">
        <v>21</v>
      </c>
      <c r="L15" s="1"/>
      <c r="M15" s="1"/>
    </row>
    <row r="16" spans="1:17" ht="20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</row>
    <row r="17" spans="1:13" ht="20">
      <c r="A17" s="2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</row>
    <row r="18" spans="1:13" ht="20">
      <c r="A18" s="2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</row>
    <row r="19" spans="1:13" ht="20">
      <c r="A19" s="2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</row>
    <row r="20" spans="1:13" ht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2">
    <mergeCell ref="A1:B1"/>
    <mergeCell ref="M2:Q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A14" zoomScale="125" zoomScaleNormal="125" zoomScalePageLayoutView="125" workbookViewId="0">
      <selection activeCell="C23" sqref="C23"/>
    </sheetView>
  </sheetViews>
  <sheetFormatPr baseColWidth="10" defaultRowHeight="15" x14ac:dyDescent="0"/>
  <cols>
    <col min="1" max="1" width="19.1640625" customWidth="1"/>
    <col min="2" max="2" width="18" customWidth="1"/>
    <col min="3" max="4" width="14" customWidth="1"/>
    <col min="5" max="5" width="15.5" customWidth="1"/>
    <col min="6" max="8" width="14" customWidth="1"/>
    <col min="9" max="9" width="23.5" customWidth="1"/>
    <col min="10" max="10" width="15.83203125" customWidth="1"/>
    <col min="11" max="12" width="17.33203125" customWidth="1"/>
    <col min="13" max="13" width="19.1640625" customWidth="1"/>
    <col min="14" max="14" width="13.83203125" customWidth="1"/>
    <col min="15" max="15" width="10.5" customWidth="1"/>
    <col min="16" max="16" width="12.83203125" customWidth="1"/>
    <col min="19" max="19" width="15.1640625" customWidth="1"/>
    <col min="20" max="20" width="15.5" customWidth="1"/>
  </cols>
  <sheetData>
    <row r="1" spans="1:26">
      <c r="A1" s="54" t="s">
        <v>40</v>
      </c>
      <c r="B1" s="52"/>
      <c r="C1" s="45"/>
      <c r="D1" s="45" t="s">
        <v>47</v>
      </c>
      <c r="E1" s="46"/>
    </row>
    <row r="2" spans="1:26">
      <c r="A2" s="41" t="s">
        <v>41</v>
      </c>
      <c r="B2" s="43" t="s">
        <v>51</v>
      </c>
      <c r="C2" s="47"/>
      <c r="D2" s="47" t="s">
        <v>22</v>
      </c>
      <c r="E2" s="47" t="s">
        <v>46</v>
      </c>
    </row>
    <row r="3" spans="1:26">
      <c r="A3" s="42">
        <v>122.12130000000001</v>
      </c>
      <c r="B3" s="49">
        <f>((A5*E3)/1000)*A3</f>
        <v>3228.4213525132805</v>
      </c>
      <c r="C3" s="48"/>
      <c r="D3" s="48">
        <v>1</v>
      </c>
      <c r="E3" s="48">
        <v>4.1840000000000002</v>
      </c>
    </row>
    <row r="4" spans="1:26">
      <c r="A4" s="43" t="s">
        <v>42</v>
      </c>
      <c r="B4" s="43" t="s">
        <v>52</v>
      </c>
      <c r="C4" s="47" t="s">
        <v>50</v>
      </c>
    </row>
    <row r="5" spans="1:26">
      <c r="A5" s="44">
        <v>6318.4</v>
      </c>
      <c r="B5" s="44">
        <v>3228.29</v>
      </c>
      <c r="C5" s="48" t="s">
        <v>49</v>
      </c>
    </row>
    <row r="6" spans="1:26">
      <c r="A6" s="43" t="s">
        <v>45</v>
      </c>
    </row>
    <row r="7" spans="1:26">
      <c r="A7" s="44">
        <v>6323</v>
      </c>
    </row>
    <row r="8" spans="1:26">
      <c r="A8" s="43" t="s">
        <v>43</v>
      </c>
    </row>
    <row r="9" spans="1:26">
      <c r="A9" s="44">
        <v>11373</v>
      </c>
    </row>
    <row r="10" spans="1:26">
      <c r="A10" s="41" t="s">
        <v>44</v>
      </c>
    </row>
    <row r="11" spans="1:26">
      <c r="A11" s="44">
        <v>26.452999999999999</v>
      </c>
    </row>
    <row r="12" spans="1:26">
      <c r="A12" s="43" t="s">
        <v>48</v>
      </c>
    </row>
    <row r="13" spans="1:26">
      <c r="A13" s="44">
        <v>3228.29</v>
      </c>
    </row>
    <row r="15" spans="1:26" ht="120">
      <c r="A15" s="3"/>
      <c r="B15" s="3" t="s">
        <v>0</v>
      </c>
      <c r="C15" s="4" t="s">
        <v>10</v>
      </c>
      <c r="D15" s="4" t="s">
        <v>11</v>
      </c>
      <c r="E15" s="4" t="s">
        <v>30</v>
      </c>
      <c r="F15" s="4" t="s">
        <v>29</v>
      </c>
      <c r="G15" s="4"/>
      <c r="H15" s="4" t="s">
        <v>8</v>
      </c>
      <c r="I15" s="3" t="s">
        <v>1</v>
      </c>
      <c r="J15" s="4" t="s">
        <v>2</v>
      </c>
      <c r="K15" s="4" t="s">
        <v>19</v>
      </c>
      <c r="L15" s="4" t="s">
        <v>27</v>
      </c>
      <c r="M15" s="4" t="s">
        <v>26</v>
      </c>
      <c r="N15" s="4" t="s">
        <v>54</v>
      </c>
      <c r="O15" s="4" t="s">
        <v>55</v>
      </c>
      <c r="P15" s="4" t="s">
        <v>56</v>
      </c>
      <c r="Q15" s="9" t="s">
        <v>60</v>
      </c>
      <c r="R15" s="36" t="s">
        <v>18</v>
      </c>
      <c r="S15" s="36" t="s">
        <v>25</v>
      </c>
      <c r="T15" s="36" t="s">
        <v>17</v>
      </c>
      <c r="U15" s="17"/>
      <c r="V15" s="53" t="s">
        <v>53</v>
      </c>
      <c r="W15" s="53"/>
      <c r="X15" s="53"/>
      <c r="Y15" s="53"/>
      <c r="Z15" s="53"/>
    </row>
    <row r="16" spans="1:26" ht="20">
      <c r="A16" s="1"/>
      <c r="B16" s="1"/>
      <c r="C16" s="1"/>
      <c r="D16" s="1"/>
      <c r="E16" s="2">
        <v>14.1</v>
      </c>
      <c r="F16" s="2">
        <v>7.0900000000000005E-2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"/>
      <c r="T16" s="9"/>
      <c r="V16" s="11"/>
    </row>
    <row r="17" spans="1:26" ht="20">
      <c r="A17" s="2"/>
      <c r="B17" s="2" t="s">
        <v>9</v>
      </c>
      <c r="C17" s="2"/>
      <c r="D17" s="2"/>
      <c r="E17" s="2"/>
      <c r="F17" s="2"/>
      <c r="G17" s="2"/>
      <c r="H17" s="2"/>
      <c r="I17" s="2"/>
      <c r="J17" s="2">
        <f>'Calabration Bomb2'!H10</f>
        <v>534.74138436086332</v>
      </c>
      <c r="K17" s="2">
        <v>6318.4</v>
      </c>
      <c r="L17" s="2"/>
      <c r="M17" s="2"/>
      <c r="N17" s="2"/>
      <c r="O17" s="2"/>
      <c r="P17" s="2"/>
      <c r="Q17" s="10"/>
      <c r="R17" s="1"/>
      <c r="S17" s="1"/>
      <c r="T17" s="1"/>
      <c r="V17" s="50"/>
      <c r="W17" s="21"/>
      <c r="X17" s="21"/>
      <c r="Y17" s="21"/>
      <c r="Z17" s="21"/>
    </row>
    <row r="18" spans="1:26" ht="2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9"/>
      <c r="R18" s="9"/>
      <c r="S18" s="16"/>
      <c r="T18" s="9"/>
      <c r="V18" s="22" t="s">
        <v>23</v>
      </c>
      <c r="W18" s="22" t="s">
        <v>22</v>
      </c>
      <c r="X18" s="22" t="s">
        <v>24</v>
      </c>
      <c r="Y18" s="22" t="s">
        <v>22</v>
      </c>
      <c r="Z18" s="22" t="s">
        <v>8</v>
      </c>
    </row>
    <row r="19" spans="1:26" ht="20">
      <c r="A19" s="2" t="s">
        <v>38</v>
      </c>
      <c r="B19" s="2" t="s">
        <v>13</v>
      </c>
      <c r="C19" s="2">
        <v>3.7543100000000003E-2</v>
      </c>
      <c r="D19" s="7"/>
      <c r="E19" s="2">
        <v>0.4</v>
      </c>
      <c r="F19" s="24">
        <f>E19*$E$16*$F$16</f>
        <v>0.39987600000000006</v>
      </c>
      <c r="G19" s="2"/>
      <c r="H19" s="2">
        <f>Z19</f>
        <v>14.31682</v>
      </c>
      <c r="I19" s="2">
        <v>0.4713</v>
      </c>
      <c r="J19" s="2"/>
      <c r="K19" s="2">
        <f>((I19*J$17)-H19-F19)/C19</f>
        <v>6320.9196483315136</v>
      </c>
      <c r="L19" s="2">
        <f>S19-(92.7)*(0.0495)</f>
        <v>11373.066716996726</v>
      </c>
      <c r="M19" s="24">
        <f>L19/1.8</f>
        <v>6318.3703983315136</v>
      </c>
      <c r="N19" s="24">
        <f>K19-K17</f>
        <v>2.5196483315139631</v>
      </c>
      <c r="O19" s="39">
        <f>(N19/K17)*100</f>
        <v>3.9877949030038669E-2</v>
      </c>
      <c r="P19" s="39">
        <f>(K19/K17)*100</f>
        <v>100.03987794903004</v>
      </c>
      <c r="Q19" s="1">
        <f>K19*E$3</f>
        <v>26446.727808619053</v>
      </c>
      <c r="R19" s="1">
        <f>Q19/1000</f>
        <v>26.446727808619052</v>
      </c>
      <c r="S19" s="39">
        <f>K19*1.8</f>
        <v>11377.655366996725</v>
      </c>
      <c r="T19" s="24">
        <f>R19*$A$3</f>
        <v>3229.7087807347098</v>
      </c>
      <c r="V19" s="21">
        <v>1.48418E-2</v>
      </c>
      <c r="W19" s="21">
        <f>V19*1400</f>
        <v>20.77852</v>
      </c>
      <c r="X19" s="21">
        <v>4.6154999999999998E-3</v>
      </c>
      <c r="Y19" s="21">
        <f>X19*1400</f>
        <v>6.4616999999999996</v>
      </c>
      <c r="Z19" s="21">
        <f>W19-Y19</f>
        <v>14.31682</v>
      </c>
    </row>
    <row r="20" spans="1:26" ht="20">
      <c r="A20" s="2" t="s">
        <v>39</v>
      </c>
      <c r="B20" s="2" t="s">
        <v>13</v>
      </c>
      <c r="C20" s="2">
        <v>3.7543100000000003E-2</v>
      </c>
      <c r="D20" s="7"/>
      <c r="E20" s="2">
        <v>0</v>
      </c>
      <c r="F20" s="24">
        <f>E20*$E$16*$F$16</f>
        <v>0</v>
      </c>
      <c r="G20" s="2"/>
      <c r="H20" s="2">
        <f>Z20</f>
        <v>14.31682</v>
      </c>
      <c r="I20" s="2">
        <v>0.4713</v>
      </c>
      <c r="J20" s="2"/>
      <c r="K20" s="2">
        <f>((I20*J$17)-H20-F20)/C20</f>
        <v>6331.5707666461976</v>
      </c>
      <c r="L20" s="2">
        <f>S20-(92.7)*(0.0495)</f>
        <v>11392.238729963155</v>
      </c>
      <c r="M20" s="24">
        <f>L20/1.8</f>
        <v>6329.0215166461976</v>
      </c>
      <c r="N20" s="24">
        <f>K20-K17</f>
        <v>13.17076664619799</v>
      </c>
      <c r="O20" s="39">
        <f>(N20/K17)*100</f>
        <v>0.20845097882688637</v>
      </c>
      <c r="P20" s="39">
        <f>(K20/K17)*100</f>
        <v>100.20845097882689</v>
      </c>
      <c r="Q20" s="1">
        <f>K20*E$3</f>
        <v>26491.292087647693</v>
      </c>
      <c r="R20" s="1">
        <f>Q20/1000</f>
        <v>26.491292087647693</v>
      </c>
      <c r="S20" s="39">
        <f>K20*1.8</f>
        <v>11396.827379963155</v>
      </c>
      <c r="T20" s="24">
        <f>R20*$A$3</f>
        <v>3235.1510284232504</v>
      </c>
      <c r="V20" s="21">
        <v>1.48418E-2</v>
      </c>
      <c r="W20" s="21">
        <f>V20*1400</f>
        <v>20.77852</v>
      </c>
      <c r="X20" s="21">
        <v>4.6154999999999998E-3</v>
      </c>
      <c r="Y20" s="21">
        <f>X20*1400</f>
        <v>6.4616999999999996</v>
      </c>
      <c r="Z20" s="21">
        <f>W20-Y20</f>
        <v>14.31682</v>
      </c>
    </row>
    <row r="21" spans="1:26" ht="20">
      <c r="A21" s="2"/>
      <c r="B21" s="2"/>
      <c r="C21" s="29"/>
      <c r="D21" s="7"/>
      <c r="E21" s="29"/>
      <c r="F21" s="24"/>
      <c r="G21" s="2"/>
      <c r="H21" s="2"/>
      <c r="I21" s="29"/>
      <c r="J21" s="2"/>
      <c r="K21" s="2"/>
      <c r="L21" s="2"/>
      <c r="M21" s="24"/>
      <c r="N21" s="24"/>
      <c r="O21" s="24"/>
      <c r="P21" s="24"/>
      <c r="Q21" s="1"/>
      <c r="R21" s="1"/>
      <c r="S21" s="2"/>
      <c r="T21" s="1"/>
      <c r="V21" s="18"/>
      <c r="W21" s="21"/>
      <c r="X21" s="18"/>
      <c r="Y21" s="21"/>
      <c r="Z21" s="21"/>
    </row>
    <row r="22" spans="1:26" ht="20">
      <c r="A22" s="2" t="s">
        <v>38</v>
      </c>
      <c r="B22" s="7" t="s">
        <v>37</v>
      </c>
      <c r="C22" s="2">
        <v>6.9800000000000001E-3</v>
      </c>
      <c r="D22" s="2">
        <v>2.5847999999999999E-2</v>
      </c>
      <c r="E22" s="2">
        <v>0.31</v>
      </c>
      <c r="F22" s="40">
        <f t="shared" ref="F22" si="0">E22*$E$16*$F$16</f>
        <v>0.30990390000000001</v>
      </c>
      <c r="G22" s="27"/>
      <c r="H22" s="2">
        <f>Z22</f>
        <v>12.939220000000001</v>
      </c>
      <c r="I22" s="7">
        <v>0.38450000000000001</v>
      </c>
      <c r="J22" s="7"/>
      <c r="K22" s="7">
        <f t="shared" ref="K22" si="1">((I22)*(J$17)-H22-F22-(K$17)*(D22))/C22</f>
        <v>4160.5924336320868</v>
      </c>
      <c r="L22" s="8"/>
      <c r="Q22" s="1">
        <f t="shared" ref="Q22:Q23" si="2">K22*E$3</f>
        <v>17407.918742316651</v>
      </c>
      <c r="R22" s="1">
        <f t="shared" ref="R22:R23" si="3">Q22/1000</f>
        <v>17.407918742316653</v>
      </c>
      <c r="S22" s="8"/>
      <c r="T22" s="8"/>
      <c r="U22" s="31"/>
      <c r="V22" s="18">
        <v>1.4984300000000001E-2</v>
      </c>
      <c r="W22" s="21">
        <f t="shared" ref="W22:W23" si="4">V22*1400</f>
        <v>20.978020000000001</v>
      </c>
      <c r="X22" s="31">
        <v>5.7419999999999997E-3</v>
      </c>
      <c r="Y22" s="21">
        <f t="shared" ref="Y22:Y23" si="5">X22*1400</f>
        <v>8.0388000000000002</v>
      </c>
      <c r="Z22" s="21">
        <f t="shared" ref="Z22:Z23" si="6">W22-Y22</f>
        <v>12.939220000000001</v>
      </c>
    </row>
    <row r="23" spans="1:26" ht="20">
      <c r="A23" s="2" t="s">
        <v>39</v>
      </c>
      <c r="B23" s="7" t="s">
        <v>37</v>
      </c>
      <c r="C23" s="2">
        <v>6.9800000000000001E-3</v>
      </c>
      <c r="D23" s="2">
        <v>2.5847999999999999E-2</v>
      </c>
      <c r="E23" s="2">
        <v>0</v>
      </c>
      <c r="F23" s="40">
        <f t="shared" ref="F23" si="7">E23*$E$16*$F$16</f>
        <v>0</v>
      </c>
      <c r="G23" s="27"/>
      <c r="H23" s="2">
        <f>Z23</f>
        <v>12.939220000000001</v>
      </c>
      <c r="I23" s="7">
        <v>0.38450000000000001</v>
      </c>
      <c r="J23" s="7"/>
      <c r="K23" s="7">
        <f t="shared" ref="K23" si="8">((I23)*(J$17)-H23-F23-(K$17)*(D23))/C23</f>
        <v>4204.9912731736331</v>
      </c>
      <c r="L23" s="8"/>
      <c r="Q23" s="1">
        <f t="shared" si="2"/>
        <v>17593.683486958482</v>
      </c>
      <c r="R23" s="1">
        <f t="shared" si="3"/>
        <v>17.593683486958483</v>
      </c>
      <c r="S23" s="8"/>
      <c r="T23" s="8"/>
      <c r="U23" s="31"/>
      <c r="V23" s="18">
        <v>1.4984300000000001E-2</v>
      </c>
      <c r="W23" s="21">
        <f t="shared" si="4"/>
        <v>20.978020000000001</v>
      </c>
      <c r="X23" s="31">
        <v>5.7419999999999997E-3</v>
      </c>
      <c r="Y23" s="21">
        <f t="shared" si="5"/>
        <v>8.0388000000000002</v>
      </c>
      <c r="Z23" s="21">
        <f t="shared" si="6"/>
        <v>12.939220000000001</v>
      </c>
    </row>
    <row r="24" spans="1:26" ht="20">
      <c r="A24" s="2"/>
      <c r="B24" s="2"/>
      <c r="C24" s="2"/>
      <c r="D24" s="7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</row>
    <row r="25" spans="1:26" ht="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</row>
    <row r="26" spans="1:26" ht="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</row>
    <row r="27" spans="1:26" ht="20">
      <c r="A27" s="2"/>
      <c r="B27" s="2"/>
      <c r="C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</row>
    <row r="28" spans="1:26" ht="20">
      <c r="A28" s="2"/>
      <c r="B28" s="2"/>
      <c r="C28" s="2"/>
      <c r="D28" s="35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</row>
    <row r="29" spans="1:26" ht="20">
      <c r="A29" s="2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  <c r="M29" s="1"/>
      <c r="N29" s="1"/>
      <c r="O29" s="1"/>
      <c r="P29" s="1"/>
      <c r="Q29" s="1"/>
      <c r="R29" s="1"/>
      <c r="S29" s="1"/>
      <c r="T29" s="1"/>
    </row>
    <row r="30" spans="1:26" ht="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</row>
    <row r="31" spans="1:26" ht="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</row>
    <row r="32" spans="1:26" ht="20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</row>
    <row r="33" spans="1:20" ht="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</row>
    <row r="34" spans="1:20" ht="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</row>
    <row r="35" spans="1:20" ht="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</row>
    <row r="36" spans="1:20" ht="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</row>
    <row r="37" spans="1:20" ht="20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0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0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0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0">
      <c r="D50" s="1"/>
    </row>
    <row r="51" spans="1:20" ht="20">
      <c r="D51" s="1"/>
    </row>
    <row r="52" spans="1:20" ht="20">
      <c r="D52" s="1"/>
    </row>
    <row r="53" spans="1:20" ht="20">
      <c r="D53" s="1"/>
    </row>
  </sheetData>
  <mergeCells count="2">
    <mergeCell ref="A1:B1"/>
    <mergeCell ref="V15:Z15"/>
  </mergeCells>
  <phoneticPr fontId="1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S49"/>
  <sheetViews>
    <sheetView topLeftCell="A10" zoomScale="125" zoomScaleNormal="125" zoomScalePageLayoutView="125" workbookViewId="0">
      <selection activeCell="E8" sqref="E8"/>
    </sheetView>
  </sheetViews>
  <sheetFormatPr baseColWidth="10" defaultRowHeight="15" x14ac:dyDescent="0"/>
  <cols>
    <col min="1" max="1" width="19.1640625" customWidth="1"/>
    <col min="2" max="2" width="21.6640625" customWidth="1"/>
    <col min="3" max="4" width="14" customWidth="1"/>
    <col min="5" max="5" width="15.83203125" customWidth="1"/>
    <col min="6" max="8" width="14" customWidth="1"/>
    <col min="9" max="9" width="23.5" customWidth="1"/>
    <col min="10" max="10" width="15.83203125" customWidth="1"/>
    <col min="11" max="11" width="17.33203125" customWidth="1"/>
    <col min="12" max="13" width="14.5" bestFit="1" customWidth="1"/>
  </cols>
  <sheetData>
    <row r="1" spans="1:19">
      <c r="A1" s="54" t="s">
        <v>40</v>
      </c>
      <c r="B1" s="52"/>
      <c r="C1" s="45"/>
      <c r="D1" s="45" t="s">
        <v>47</v>
      </c>
      <c r="E1" s="46"/>
    </row>
    <row r="2" spans="1:19">
      <c r="A2" s="41" t="s">
        <v>41</v>
      </c>
      <c r="B2" s="43" t="s">
        <v>51</v>
      </c>
      <c r="C2" s="47"/>
      <c r="D2" s="47" t="s">
        <v>22</v>
      </c>
      <c r="E2" s="47" t="s">
        <v>46</v>
      </c>
    </row>
    <row r="3" spans="1:19">
      <c r="A3" s="42">
        <v>122.12130000000001</v>
      </c>
      <c r="B3" s="49">
        <f>((A5*E3)/1000)*A3</f>
        <v>3228.4213525132805</v>
      </c>
      <c r="C3" s="48"/>
      <c r="D3" s="48">
        <v>1</v>
      </c>
      <c r="E3" s="48">
        <v>4.1840000000000002</v>
      </c>
    </row>
    <row r="4" spans="1:19">
      <c r="A4" s="43" t="s">
        <v>42</v>
      </c>
      <c r="B4" s="43" t="s">
        <v>52</v>
      </c>
      <c r="C4" s="47" t="s">
        <v>50</v>
      </c>
    </row>
    <row r="5" spans="1:19">
      <c r="A5" s="44">
        <v>6318.4</v>
      </c>
      <c r="B5" s="44">
        <v>3228.29</v>
      </c>
      <c r="C5" s="48" t="s">
        <v>49</v>
      </c>
    </row>
    <row r="6" spans="1:19">
      <c r="A6" s="43" t="s">
        <v>45</v>
      </c>
    </row>
    <row r="7" spans="1:19">
      <c r="A7" s="44">
        <v>6323</v>
      </c>
    </row>
    <row r="8" spans="1:19">
      <c r="A8" s="43" t="s">
        <v>43</v>
      </c>
    </row>
    <row r="9" spans="1:19">
      <c r="A9" s="44">
        <v>11373</v>
      </c>
    </row>
    <row r="10" spans="1:19">
      <c r="A10" s="41" t="s">
        <v>44</v>
      </c>
    </row>
    <row r="11" spans="1:19">
      <c r="A11" s="44">
        <v>26.452999999999999</v>
      </c>
    </row>
    <row r="12" spans="1:19">
      <c r="A12" s="43" t="s">
        <v>48</v>
      </c>
    </row>
    <row r="13" spans="1:19">
      <c r="A13" s="44">
        <v>3228.29</v>
      </c>
    </row>
    <row r="14" spans="1:19" ht="61" customHeight="1">
      <c r="A14" s="51" t="s">
        <v>32</v>
      </c>
      <c r="B14" s="52"/>
      <c r="C14" s="36"/>
      <c r="D14" s="36"/>
      <c r="E14" s="36"/>
      <c r="F14" s="36"/>
      <c r="G14" s="36"/>
      <c r="H14" s="36"/>
      <c r="I14" s="36"/>
      <c r="J14" s="36"/>
      <c r="K14" s="36"/>
    </row>
    <row r="15" spans="1:19" ht="120">
      <c r="A15" s="36"/>
      <c r="B15" s="36" t="s">
        <v>0</v>
      </c>
      <c r="C15" s="4" t="s">
        <v>10</v>
      </c>
      <c r="D15" s="4" t="s">
        <v>11</v>
      </c>
      <c r="E15" s="4" t="s">
        <v>30</v>
      </c>
      <c r="F15" s="4" t="s">
        <v>29</v>
      </c>
      <c r="G15" s="4"/>
      <c r="H15" s="4" t="s">
        <v>14</v>
      </c>
      <c r="I15" s="36" t="s">
        <v>1</v>
      </c>
      <c r="J15" s="4" t="s">
        <v>2</v>
      </c>
      <c r="K15" s="4" t="s">
        <v>12</v>
      </c>
      <c r="L15" s="36" t="s">
        <v>60</v>
      </c>
      <c r="M15" s="36" t="s">
        <v>61</v>
      </c>
      <c r="N15" s="1"/>
      <c r="O15" s="53" t="s">
        <v>53</v>
      </c>
      <c r="P15" s="53"/>
      <c r="Q15" s="53"/>
      <c r="R15" s="53"/>
      <c r="S15" s="53"/>
    </row>
    <row r="16" spans="1:19" ht="35" customHeight="1">
      <c r="A16" s="1"/>
      <c r="B16" s="1"/>
      <c r="C16" s="1"/>
      <c r="D16" s="1"/>
      <c r="E16" s="2">
        <v>14.1</v>
      </c>
      <c r="F16" s="2">
        <v>7.0900000000000005E-2</v>
      </c>
      <c r="G16" s="2"/>
      <c r="H16" s="1"/>
      <c r="I16" s="1"/>
      <c r="J16" s="1"/>
      <c r="K16" s="12" t="s">
        <v>16</v>
      </c>
      <c r="L16" s="1"/>
      <c r="M16" s="1"/>
      <c r="N16" s="2"/>
      <c r="O16" s="37"/>
    </row>
    <row r="17" spans="1:19" ht="20">
      <c r="A17" s="2"/>
      <c r="B17" s="2" t="s">
        <v>15</v>
      </c>
      <c r="C17" s="2"/>
      <c r="D17" s="2"/>
      <c r="E17" s="2"/>
      <c r="F17" s="2"/>
      <c r="G17" s="2"/>
      <c r="H17" s="2"/>
      <c r="I17" s="2"/>
      <c r="J17" s="24">
        <f>'Calabration Bomb2'!H10</f>
        <v>534.74138436086332</v>
      </c>
      <c r="K17" s="2">
        <f>'Calabration Bomb2'!I5</f>
        <v>6318.4000000000005</v>
      </c>
      <c r="L17" s="37"/>
      <c r="M17" s="1"/>
      <c r="N17" s="19"/>
      <c r="O17" s="20"/>
      <c r="P17" s="21"/>
      <c r="Q17" s="21"/>
      <c r="R17" s="21"/>
      <c r="S17" s="21"/>
    </row>
    <row r="18" spans="1:19" ht="20">
      <c r="A18" s="2"/>
      <c r="B18" s="2"/>
      <c r="C18" s="2"/>
      <c r="D18" s="2"/>
      <c r="E18" s="36" t="s">
        <v>31</v>
      </c>
      <c r="F18" s="2"/>
      <c r="G18" s="2"/>
      <c r="H18" s="2"/>
      <c r="I18" s="2"/>
      <c r="J18" s="2"/>
      <c r="K18" s="2"/>
      <c r="L18" s="36"/>
      <c r="M18" s="36"/>
      <c r="N18" s="22"/>
      <c r="O18" s="22" t="s">
        <v>23</v>
      </c>
      <c r="P18" s="22" t="s">
        <v>22</v>
      </c>
      <c r="Q18" s="22" t="s">
        <v>24</v>
      </c>
      <c r="R18" s="22" t="s">
        <v>22</v>
      </c>
      <c r="S18" s="22" t="s">
        <v>8</v>
      </c>
    </row>
    <row r="19" spans="1:19" s="8" customFormat="1" ht="20">
      <c r="A19" s="7"/>
      <c r="B19" s="7" t="s">
        <v>33</v>
      </c>
      <c r="C19" s="7">
        <v>5.7505999999999998E-3</v>
      </c>
      <c r="D19" s="7">
        <v>3.2847399999999999E-2</v>
      </c>
      <c r="E19" s="7">
        <v>0.4</v>
      </c>
      <c r="F19" s="40">
        <f>E19*$E$16*$F$16</f>
        <v>0.39987600000000006</v>
      </c>
      <c r="G19" s="40"/>
      <c r="H19" s="40">
        <f>S19</f>
        <v>15.052099999999999</v>
      </c>
      <c r="I19" s="7">
        <v>0.4496</v>
      </c>
      <c r="J19" s="7"/>
      <c r="K19" s="38">
        <f>((I19)*(J$17)-H19-F19-(K$17)*(D19))/C19</f>
        <v>3030.0730790950743</v>
      </c>
      <c r="L19" s="38">
        <f>K19*$E$3</f>
        <v>12677.825762933791</v>
      </c>
      <c r="M19" s="38">
        <f>L19/1000</f>
        <v>12.677825762933791</v>
      </c>
      <c r="N19" s="28"/>
      <c r="O19" s="21">
        <v>1.49515E-2</v>
      </c>
      <c r="P19" s="21">
        <f>O19*1400</f>
        <v>20.932099999999998</v>
      </c>
      <c r="Q19" s="21">
        <v>4.1999999999999997E-3</v>
      </c>
      <c r="R19" s="21">
        <f>Q19*1400</f>
        <v>5.88</v>
      </c>
      <c r="S19" s="21">
        <f>P19-R19</f>
        <v>15.052099999999999</v>
      </c>
    </row>
    <row r="20" spans="1:19" s="8" customFormat="1" ht="20">
      <c r="A20" s="7"/>
      <c r="B20" s="7" t="s">
        <v>33</v>
      </c>
      <c r="C20" s="7">
        <v>6.4597999999999999E-3</v>
      </c>
      <c r="D20" s="7">
        <v>3.2725600000000001E-2</v>
      </c>
      <c r="E20" s="7">
        <v>0.4</v>
      </c>
      <c r="F20" s="40">
        <f>E20*$E$16*$F$16</f>
        <v>0.39987600000000006</v>
      </c>
      <c r="G20" s="40"/>
      <c r="H20" s="40">
        <f>S20</f>
        <v>14.084280000000001</v>
      </c>
      <c r="I20" s="7">
        <v>0.45090000000000002</v>
      </c>
      <c r="J20" s="14"/>
      <c r="K20" s="38">
        <f>((I20)*(J$17)-H20-F20-(K$17)*(D20))/C20</f>
        <v>3073.9811090611552</v>
      </c>
      <c r="L20" s="38">
        <f t="shared" ref="L20:L23" si="0">K20*$E$3</f>
        <v>12861.536960311874</v>
      </c>
      <c r="M20" s="38">
        <f t="shared" ref="M20:M23" si="1">L20/1000</f>
        <v>12.861536960311874</v>
      </c>
      <c r="N20" s="28"/>
      <c r="O20" s="21">
        <v>1.5169500000000001E-2</v>
      </c>
      <c r="P20" s="21">
        <f t="shared" ref="P20:P23" si="2">O20*1400</f>
        <v>21.237300000000001</v>
      </c>
      <c r="Q20" s="21">
        <v>5.1092999999999998E-3</v>
      </c>
      <c r="R20" s="21">
        <f t="shared" ref="R20:R23" si="3">Q20*1400</f>
        <v>7.1530199999999997</v>
      </c>
      <c r="S20" s="21">
        <f t="shared" ref="S20:S23" si="4">P20-R20</f>
        <v>14.084280000000001</v>
      </c>
    </row>
    <row r="21" spans="1:19" s="8" customFormat="1" ht="20">
      <c r="A21" s="7"/>
      <c r="B21" s="7" t="s">
        <v>33</v>
      </c>
      <c r="C21" s="7">
        <v>7.2145999999999998E-3</v>
      </c>
      <c r="D21" s="7">
        <v>3.2078299999999997E-2</v>
      </c>
      <c r="E21" s="7">
        <v>0.48</v>
      </c>
      <c r="F21" s="40">
        <f>E21*$E$16*$F$16</f>
        <v>0.47985120000000003</v>
      </c>
      <c r="G21" s="40"/>
      <c r="H21" s="40">
        <f>S21</f>
        <v>14.218399999999999</v>
      </c>
      <c r="I21" s="30">
        <v>0.44979999999999998</v>
      </c>
      <c r="J21" s="7"/>
      <c r="K21" s="38">
        <f>((I21)*(J$17)-H21-F21-(K$17)*(D21))/C21</f>
        <v>3208.0632003875876</v>
      </c>
      <c r="L21" s="38">
        <f t="shared" si="0"/>
        <v>13422.536430421667</v>
      </c>
      <c r="M21" s="38">
        <f t="shared" si="1"/>
        <v>13.422536430421667</v>
      </c>
      <c r="N21" s="28"/>
      <c r="O21" s="23">
        <v>1.49447E-2</v>
      </c>
      <c r="P21" s="21">
        <f t="shared" si="2"/>
        <v>20.92258</v>
      </c>
      <c r="Q21" s="21">
        <v>4.7886999999999999E-3</v>
      </c>
      <c r="R21" s="21">
        <f t="shared" si="3"/>
        <v>6.70418</v>
      </c>
      <c r="S21" s="21">
        <f t="shared" si="4"/>
        <v>14.218399999999999</v>
      </c>
    </row>
    <row r="22" spans="1:19" s="8" customFormat="1" ht="20">
      <c r="A22" s="7"/>
      <c r="B22" s="7" t="s">
        <v>35</v>
      </c>
      <c r="C22" s="7">
        <v>4.9249999999999997E-3</v>
      </c>
      <c r="D22" s="7">
        <v>3.1747499999999998E-2</v>
      </c>
      <c r="E22" s="7">
        <v>0.35</v>
      </c>
      <c r="F22" s="40">
        <f>E22*$E$16*$F$16</f>
        <v>0.34989150000000002</v>
      </c>
      <c r="G22" s="40"/>
      <c r="H22" s="40">
        <f>S22</f>
        <v>14.323259999999998</v>
      </c>
      <c r="I22" s="7">
        <v>0.40579999999999999</v>
      </c>
      <c r="J22" s="7"/>
      <c r="K22" s="38">
        <f>((I22)*(J$17)-H22-F22-(K$17)*(D22))/C22</f>
        <v>351.57325353062396</v>
      </c>
      <c r="L22" s="38">
        <f t="shared" si="0"/>
        <v>1470.9824927721306</v>
      </c>
      <c r="M22" s="38">
        <f t="shared" si="1"/>
        <v>1.4709824927721307</v>
      </c>
      <c r="N22" s="32"/>
      <c r="O22" s="18">
        <v>1.4922E-2</v>
      </c>
      <c r="P22" s="31">
        <f t="shared" si="2"/>
        <v>20.890799999999999</v>
      </c>
      <c r="Q22" s="31">
        <v>4.6911000000000001E-3</v>
      </c>
      <c r="R22" s="31">
        <f t="shared" si="3"/>
        <v>6.5675400000000002</v>
      </c>
      <c r="S22" s="31">
        <f t="shared" si="4"/>
        <v>14.323259999999998</v>
      </c>
    </row>
    <row r="23" spans="1:19" s="8" customFormat="1" ht="20">
      <c r="A23" s="7"/>
      <c r="B23" s="7" t="s">
        <v>35</v>
      </c>
      <c r="C23" s="7">
        <v>5.4250000000000001E-3</v>
      </c>
      <c r="D23" s="7">
        <v>3.2253499999999997E-2</v>
      </c>
      <c r="E23" s="7">
        <v>0.4</v>
      </c>
      <c r="F23" s="40">
        <f>E23*$E$16*$F$16</f>
        <v>0.39987600000000006</v>
      </c>
      <c r="G23" s="40"/>
      <c r="H23" s="40">
        <f>S23</f>
        <v>13.513080000000002</v>
      </c>
      <c r="I23" s="7">
        <v>0.41089999999999999</v>
      </c>
      <c r="J23" s="7"/>
      <c r="K23" s="38">
        <f>((I23)*(J$17)-H23-F23-(K$17)*(D23))/C23</f>
        <v>372.67547168271511</v>
      </c>
      <c r="L23" s="38">
        <f t="shared" si="0"/>
        <v>1559.2741735204802</v>
      </c>
      <c r="M23" s="38">
        <f t="shared" si="1"/>
        <v>1.5592741735204803</v>
      </c>
      <c r="N23" s="21"/>
      <c r="O23" s="18">
        <v>1.4784200000000001E-2</v>
      </c>
      <c r="P23" s="21">
        <f t="shared" si="2"/>
        <v>20.697880000000001</v>
      </c>
      <c r="Q23" s="31">
        <v>5.1320000000000003E-3</v>
      </c>
      <c r="R23" s="21">
        <f t="shared" si="3"/>
        <v>7.1848000000000001</v>
      </c>
      <c r="S23" s="21">
        <f t="shared" si="4"/>
        <v>13.513080000000002</v>
      </c>
    </row>
    <row r="24" spans="1:19" ht="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9" ht="20">
      <c r="A25" s="2"/>
      <c r="B25" s="2"/>
      <c r="C25" s="2"/>
      <c r="D25" s="2"/>
      <c r="E25" s="2"/>
      <c r="F25" s="2"/>
      <c r="G25" s="2"/>
      <c r="H25" s="2"/>
      <c r="I25" s="36" t="s">
        <v>34</v>
      </c>
      <c r="J25" s="2" t="s">
        <v>59</v>
      </c>
      <c r="K25" s="39">
        <f>AVERAGE(K19:K21)</f>
        <v>3104.0391295146055</v>
      </c>
      <c r="L25" s="39">
        <f>AVERAGE(L19:L21)</f>
        <v>12987.299717889109</v>
      </c>
      <c r="M25" s="39">
        <f>AVERAGE(M19:M21)</f>
        <v>12.98729971788911</v>
      </c>
    </row>
    <row r="26" spans="1:19" ht="20">
      <c r="A26" s="2"/>
      <c r="B26" s="2"/>
      <c r="C26" s="2"/>
      <c r="D26" s="2"/>
      <c r="E26" s="2"/>
      <c r="F26" s="2"/>
      <c r="G26" s="2"/>
      <c r="H26" s="2"/>
      <c r="I26" s="2"/>
      <c r="J26" s="2" t="s">
        <v>6</v>
      </c>
      <c r="K26" s="39">
        <f>STDEV(K19:K21)</f>
        <v>92.723968123759335</v>
      </c>
      <c r="L26" s="39">
        <f>STDEV(L19:L21)</f>
        <v>387.95708262980912</v>
      </c>
      <c r="M26" s="39">
        <f>STDEV(M19:M21)</f>
        <v>0.38795708262980927</v>
      </c>
    </row>
    <row r="27" spans="1:19" ht="20">
      <c r="A27" s="2"/>
      <c r="B27" s="2"/>
      <c r="C27" s="2"/>
      <c r="D27" s="2"/>
      <c r="E27" s="2"/>
      <c r="F27" s="2"/>
      <c r="G27" s="2"/>
      <c r="H27" s="2"/>
      <c r="I27" s="2"/>
      <c r="J27" s="2" t="s">
        <v>5</v>
      </c>
      <c r="K27" s="6">
        <f>K26/K25</f>
        <v>2.9872035839399697E-2</v>
      </c>
      <c r="L27" s="6">
        <f>L26/L25</f>
        <v>2.9872035839399704E-2</v>
      </c>
      <c r="M27" s="6">
        <f>M26/M25</f>
        <v>2.9872035839399711E-2</v>
      </c>
    </row>
    <row r="28" spans="1:19" ht="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1"/>
    </row>
    <row r="29" spans="1:19" ht="20">
      <c r="A29" s="2"/>
      <c r="B29" s="2"/>
      <c r="C29" s="2"/>
      <c r="D29" s="2"/>
      <c r="E29" s="2"/>
      <c r="F29" s="2"/>
      <c r="G29" s="2"/>
      <c r="H29" s="2"/>
      <c r="I29" s="36" t="s">
        <v>36</v>
      </c>
      <c r="J29" s="2" t="s">
        <v>59</v>
      </c>
      <c r="K29" s="39">
        <f>AVERAGE(K22:K23)</f>
        <v>362.12436260666954</v>
      </c>
      <c r="L29" s="39">
        <f>AVERAGE(L22:L23)</f>
        <v>1515.1283331463055</v>
      </c>
      <c r="M29" s="39">
        <f>AVERAGE(M22:M23)</f>
        <v>1.5151283331463055</v>
      </c>
    </row>
    <row r="30" spans="1:19" ht="20">
      <c r="A30" s="2"/>
      <c r="B30" s="2"/>
      <c r="C30" s="2"/>
      <c r="D30" s="2"/>
      <c r="E30" s="2"/>
      <c r="F30" s="2"/>
      <c r="G30" s="2"/>
      <c r="H30" s="2"/>
      <c r="I30" s="2"/>
      <c r="J30" s="2" t="s">
        <v>57</v>
      </c>
      <c r="K30" s="39">
        <f>(K23-K22)</f>
        <v>21.102218152091154</v>
      </c>
      <c r="L30" s="39">
        <f>(L23-L22)</f>
        <v>88.291680748349563</v>
      </c>
      <c r="M30" s="39">
        <f>(M23-M22)</f>
        <v>8.8291680748349588E-2</v>
      </c>
    </row>
    <row r="31" spans="1:19" ht="20">
      <c r="A31" s="2"/>
      <c r="B31" s="2"/>
      <c r="C31" s="2"/>
      <c r="D31" s="2"/>
      <c r="E31" s="2"/>
      <c r="F31" s="2"/>
      <c r="G31" s="2"/>
      <c r="H31" s="2"/>
      <c r="I31" s="2"/>
      <c r="J31" s="2" t="s">
        <v>58</v>
      </c>
      <c r="K31" s="6">
        <f>K30/K29</f>
        <v>5.8273400884137308E-2</v>
      </c>
      <c r="L31" s="6">
        <f>L30/L29</f>
        <v>5.8273400884137412E-2</v>
      </c>
      <c r="M31" s="6">
        <f>M30/M29</f>
        <v>5.8273400884137433E-2</v>
      </c>
    </row>
    <row r="32" spans="1:19" ht="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</row>
    <row r="33" spans="1:13" ht="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</row>
    <row r="34" spans="1:13" ht="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</row>
    <row r="35" spans="1:13" ht="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</row>
    <row r="36" spans="1:13" ht="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</row>
    <row r="37" spans="1:13" ht="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3">
    <mergeCell ref="A1:B1"/>
    <mergeCell ref="A14:B14"/>
    <mergeCell ref="O15:S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S49"/>
  <sheetViews>
    <sheetView zoomScale="125" zoomScaleNormal="125" zoomScalePageLayoutView="125" workbookViewId="0">
      <selection activeCell="C10" sqref="C10"/>
    </sheetView>
  </sheetViews>
  <sheetFormatPr baseColWidth="10" defaultRowHeight="15" x14ac:dyDescent="0"/>
  <cols>
    <col min="1" max="1" width="19.1640625" customWidth="1"/>
    <col min="2" max="2" width="21.6640625" customWidth="1"/>
    <col min="3" max="4" width="14" customWidth="1"/>
    <col min="5" max="5" width="15.83203125" customWidth="1"/>
    <col min="6" max="8" width="14" customWidth="1"/>
    <col min="9" max="9" width="23.5" customWidth="1"/>
    <col min="10" max="10" width="15.83203125" customWidth="1"/>
    <col min="11" max="11" width="17.33203125" customWidth="1"/>
    <col min="12" max="13" width="14.5" bestFit="1" customWidth="1"/>
  </cols>
  <sheetData>
    <row r="1" spans="1:19">
      <c r="A1" s="54" t="s">
        <v>40</v>
      </c>
      <c r="B1" s="52"/>
      <c r="C1" s="45"/>
      <c r="D1" s="45" t="s">
        <v>47</v>
      </c>
      <c r="E1" s="46"/>
    </row>
    <row r="2" spans="1:19">
      <c r="A2" s="41" t="s">
        <v>41</v>
      </c>
      <c r="B2" s="43" t="s">
        <v>51</v>
      </c>
      <c r="C2" s="47"/>
      <c r="D2" s="47" t="s">
        <v>22</v>
      </c>
      <c r="E2" s="47" t="s">
        <v>46</v>
      </c>
    </row>
    <row r="3" spans="1:19">
      <c r="A3" s="42">
        <v>122.12130000000001</v>
      </c>
      <c r="B3" s="49">
        <f>((A5*E3)/1000)*A3</f>
        <v>3228.4213525132805</v>
      </c>
      <c r="C3" s="48"/>
      <c r="D3" s="48">
        <v>1</v>
      </c>
      <c r="E3" s="48">
        <v>4.1840000000000002</v>
      </c>
    </row>
    <row r="4" spans="1:19">
      <c r="A4" s="43" t="s">
        <v>42</v>
      </c>
      <c r="B4" s="43" t="s">
        <v>52</v>
      </c>
      <c r="C4" s="47" t="s">
        <v>50</v>
      </c>
    </row>
    <row r="5" spans="1:19">
      <c r="A5" s="44">
        <v>6318.4</v>
      </c>
      <c r="B5" s="44">
        <v>3228.29</v>
      </c>
      <c r="C5" s="48" t="s">
        <v>49</v>
      </c>
    </row>
    <row r="6" spans="1:19">
      <c r="A6" s="43" t="s">
        <v>45</v>
      </c>
    </row>
    <row r="7" spans="1:19">
      <c r="A7" s="44">
        <v>6323</v>
      </c>
    </row>
    <row r="8" spans="1:19">
      <c r="A8" s="43" t="s">
        <v>43</v>
      </c>
    </row>
    <row r="9" spans="1:19">
      <c r="A9" s="44">
        <v>11373</v>
      </c>
    </row>
    <row r="10" spans="1:19">
      <c r="A10" s="41" t="s">
        <v>44</v>
      </c>
    </row>
    <row r="11" spans="1:19">
      <c r="A11" s="44">
        <v>26.452999999999999</v>
      </c>
    </row>
    <row r="12" spans="1:19">
      <c r="A12" s="43" t="s">
        <v>48</v>
      </c>
    </row>
    <row r="13" spans="1:19">
      <c r="A13" s="44">
        <v>3228.29</v>
      </c>
    </row>
    <row r="14" spans="1:19" ht="61" customHeight="1">
      <c r="A14" s="51" t="s">
        <v>32</v>
      </c>
      <c r="B14" s="52"/>
      <c r="C14" s="33"/>
      <c r="D14" s="33"/>
      <c r="E14" s="33"/>
      <c r="F14" s="33"/>
      <c r="G14" s="33"/>
      <c r="H14" s="33"/>
      <c r="I14" s="33"/>
      <c r="J14" s="33"/>
      <c r="K14" s="33"/>
    </row>
    <row r="15" spans="1:19" ht="120">
      <c r="A15" s="33"/>
      <c r="B15" s="33" t="s">
        <v>0</v>
      </c>
      <c r="C15" s="4" t="s">
        <v>10</v>
      </c>
      <c r="D15" s="4" t="s">
        <v>11</v>
      </c>
      <c r="E15" s="4" t="s">
        <v>30</v>
      </c>
      <c r="F15" s="4" t="s">
        <v>29</v>
      </c>
      <c r="G15" s="4"/>
      <c r="H15" s="4" t="s">
        <v>14</v>
      </c>
      <c r="I15" s="33" t="s">
        <v>1</v>
      </c>
      <c r="J15" s="4" t="s">
        <v>2</v>
      </c>
      <c r="K15" s="4" t="s">
        <v>12</v>
      </c>
      <c r="L15" s="33" t="s">
        <v>60</v>
      </c>
      <c r="M15" s="36" t="s">
        <v>61</v>
      </c>
      <c r="N15" s="1"/>
      <c r="O15" s="53" t="s">
        <v>53</v>
      </c>
      <c r="P15" s="53"/>
      <c r="Q15" s="53"/>
      <c r="R15" s="53"/>
      <c r="S15" s="53"/>
    </row>
    <row r="16" spans="1:19" ht="35" customHeight="1">
      <c r="A16" s="1"/>
      <c r="B16" s="1"/>
      <c r="C16" s="1"/>
      <c r="D16" s="1"/>
      <c r="E16" s="2">
        <v>14.1</v>
      </c>
      <c r="F16" s="2">
        <v>7.0900000000000005E-2</v>
      </c>
      <c r="G16" s="2"/>
      <c r="H16" s="1"/>
      <c r="I16" s="1"/>
      <c r="J16" s="1"/>
      <c r="K16" s="12" t="s">
        <v>16</v>
      </c>
      <c r="L16" s="1"/>
      <c r="M16" s="1"/>
      <c r="N16" s="2"/>
      <c r="O16" s="34"/>
    </row>
    <row r="17" spans="1:19" ht="20">
      <c r="A17" s="2"/>
      <c r="B17" s="2" t="s">
        <v>15</v>
      </c>
      <c r="C17" s="2"/>
      <c r="D17" s="2"/>
      <c r="E17" s="2"/>
      <c r="F17" s="2"/>
      <c r="G17" s="2"/>
      <c r="H17" s="2"/>
      <c r="I17" s="2"/>
      <c r="J17" s="24">
        <f>'Calabration Bomb2'!H10</f>
        <v>534.74138436086332</v>
      </c>
      <c r="K17" s="2">
        <f>'Calabration Bomb2'!I5</f>
        <v>6318.4000000000005</v>
      </c>
      <c r="L17" s="34"/>
      <c r="M17" s="1"/>
      <c r="N17" s="19"/>
      <c r="O17" s="20"/>
      <c r="P17" s="21"/>
      <c r="Q17" s="21"/>
      <c r="R17" s="21"/>
      <c r="S17" s="21"/>
    </row>
    <row r="18" spans="1:19" ht="20">
      <c r="A18" s="2"/>
      <c r="B18" s="2"/>
      <c r="C18" s="2"/>
      <c r="D18" s="2"/>
      <c r="E18" s="33" t="s">
        <v>31</v>
      </c>
      <c r="F18" s="2"/>
      <c r="G18" s="2"/>
      <c r="H18" s="2"/>
      <c r="I18" s="2"/>
      <c r="J18" s="2"/>
      <c r="K18" s="2"/>
      <c r="L18" s="33"/>
      <c r="M18" s="33"/>
      <c r="N18" s="22"/>
      <c r="O18" s="22" t="s">
        <v>23</v>
      </c>
      <c r="P18" s="22" t="s">
        <v>22</v>
      </c>
      <c r="Q18" s="22" t="s">
        <v>24</v>
      </c>
      <c r="R18" s="22" t="s">
        <v>22</v>
      </c>
      <c r="S18" s="22" t="s">
        <v>8</v>
      </c>
    </row>
    <row r="19" spans="1:19" s="8" customFormat="1" ht="20">
      <c r="A19" s="7"/>
      <c r="B19" s="7" t="s">
        <v>33</v>
      </c>
      <c r="C19" s="7">
        <v>5.7505999999999998E-3</v>
      </c>
      <c r="D19" s="7">
        <v>3.2847399999999999E-2</v>
      </c>
      <c r="E19" s="7">
        <v>0</v>
      </c>
      <c r="F19" s="40">
        <f>E19*$E$16*$F$16</f>
        <v>0</v>
      </c>
      <c r="G19" s="40"/>
      <c r="H19" s="40">
        <f>S19</f>
        <v>15.052099999999999</v>
      </c>
      <c r="I19" s="7">
        <v>0.4496</v>
      </c>
      <c r="J19" s="7"/>
      <c r="K19" s="38">
        <f>((I19)*(J$17)-H19-F19-(K$17)*(D19))/C19</f>
        <v>3099.6094752972108</v>
      </c>
      <c r="L19" s="38">
        <f>K19*$E$3</f>
        <v>12968.766044643531</v>
      </c>
      <c r="M19" s="38">
        <f>L19/1000</f>
        <v>12.968766044643532</v>
      </c>
      <c r="N19" s="28"/>
      <c r="O19" s="21">
        <v>1.49515E-2</v>
      </c>
      <c r="P19" s="21">
        <f>O19*1400</f>
        <v>20.932099999999998</v>
      </c>
      <c r="Q19" s="21">
        <v>4.1999999999999997E-3</v>
      </c>
      <c r="R19" s="21">
        <f>Q19*1400</f>
        <v>5.88</v>
      </c>
      <c r="S19" s="21">
        <f>P19-R19</f>
        <v>15.052099999999999</v>
      </c>
    </row>
    <row r="20" spans="1:19" s="8" customFormat="1" ht="20">
      <c r="A20" s="7"/>
      <c r="B20" s="7" t="s">
        <v>33</v>
      </c>
      <c r="C20" s="7">
        <v>6.4597999999999999E-3</v>
      </c>
      <c r="D20" s="7">
        <v>3.2725600000000001E-2</v>
      </c>
      <c r="E20" s="7">
        <v>0</v>
      </c>
      <c r="F20" s="40">
        <f>E20*$E$16*$F$16</f>
        <v>0</v>
      </c>
      <c r="G20" s="40"/>
      <c r="H20" s="40">
        <f>S20</f>
        <v>14.084280000000001</v>
      </c>
      <c r="I20" s="7">
        <v>0.45090000000000002</v>
      </c>
      <c r="J20" s="14"/>
      <c r="K20" s="38">
        <f>((I20)*(J$17)-H20-F20-(K$17)*(D20))/C20</f>
        <v>3135.8833351362669</v>
      </c>
      <c r="L20" s="38">
        <f t="shared" ref="L20:L23" si="0">K20*$E$3</f>
        <v>13120.535874210142</v>
      </c>
      <c r="M20" s="38">
        <f t="shared" ref="M20:M23" si="1">L20/1000</f>
        <v>13.120535874210141</v>
      </c>
      <c r="N20" s="28"/>
      <c r="O20" s="21">
        <v>1.5169500000000001E-2</v>
      </c>
      <c r="P20" s="21">
        <f t="shared" ref="P20:P23" si="2">O20*1400</f>
        <v>21.237300000000001</v>
      </c>
      <c r="Q20" s="21">
        <v>5.1092999999999998E-3</v>
      </c>
      <c r="R20" s="21">
        <f t="shared" ref="R20:R23" si="3">Q20*1400</f>
        <v>7.1530199999999997</v>
      </c>
      <c r="S20" s="21">
        <f t="shared" ref="S20:S23" si="4">P20-R20</f>
        <v>14.084280000000001</v>
      </c>
    </row>
    <row r="21" spans="1:19" s="8" customFormat="1" ht="20">
      <c r="A21" s="7"/>
      <c r="B21" s="7" t="s">
        <v>33</v>
      </c>
      <c r="C21" s="7">
        <v>7.2145999999999998E-3</v>
      </c>
      <c r="D21" s="7">
        <v>3.2078299999999997E-2</v>
      </c>
      <c r="E21" s="7">
        <v>0</v>
      </c>
      <c r="F21" s="40">
        <f>E21*$E$16*$F$16</f>
        <v>0</v>
      </c>
      <c r="G21" s="40"/>
      <c r="H21" s="40">
        <f>S21</f>
        <v>14.218399999999999</v>
      </c>
      <c r="I21" s="30">
        <v>0.44979999999999998</v>
      </c>
      <c r="J21" s="7"/>
      <c r="K21" s="38">
        <f>((I21)*(J$17)-H21-F21-(K$17)*(D21))/C21</f>
        <v>3274.5743305957785</v>
      </c>
      <c r="L21" s="38">
        <f t="shared" si="0"/>
        <v>13700.818999212737</v>
      </c>
      <c r="M21" s="38">
        <f t="shared" si="1"/>
        <v>13.700818999212737</v>
      </c>
      <c r="N21" s="28"/>
      <c r="O21" s="23">
        <v>1.49447E-2</v>
      </c>
      <c r="P21" s="21">
        <f t="shared" si="2"/>
        <v>20.92258</v>
      </c>
      <c r="Q21" s="21">
        <v>4.7886999999999999E-3</v>
      </c>
      <c r="R21" s="21">
        <f t="shared" si="3"/>
        <v>6.70418</v>
      </c>
      <c r="S21" s="21">
        <f t="shared" si="4"/>
        <v>14.218399999999999</v>
      </c>
    </row>
    <row r="22" spans="1:19" s="8" customFormat="1" ht="20">
      <c r="A22" s="7"/>
      <c r="B22" s="7" t="s">
        <v>35</v>
      </c>
      <c r="C22" s="7">
        <v>4.9249999999999997E-3</v>
      </c>
      <c r="D22" s="7">
        <v>3.1747499999999998E-2</v>
      </c>
      <c r="E22" s="7">
        <v>0</v>
      </c>
      <c r="F22" s="40">
        <f>E22*$E$16*$F$16</f>
        <v>0</v>
      </c>
      <c r="G22" s="40"/>
      <c r="H22" s="40">
        <f>S22</f>
        <v>14.323259999999998</v>
      </c>
      <c r="I22" s="7">
        <v>0.40579999999999999</v>
      </c>
      <c r="J22" s="7"/>
      <c r="K22" s="38">
        <f>((I22)*(J$17)-H22-F22-(K$17)*(D22))/C22</f>
        <v>422.61721292148945</v>
      </c>
      <c r="L22" s="38">
        <f t="shared" si="0"/>
        <v>1768.2304188635119</v>
      </c>
      <c r="M22" s="38">
        <f t="shared" si="1"/>
        <v>1.7682304188635118</v>
      </c>
      <c r="N22" s="32"/>
      <c r="O22" s="18">
        <v>1.4922E-2</v>
      </c>
      <c r="P22" s="31">
        <f t="shared" si="2"/>
        <v>20.890799999999999</v>
      </c>
      <c r="Q22" s="31">
        <v>4.6911000000000001E-3</v>
      </c>
      <c r="R22" s="31">
        <f t="shared" si="3"/>
        <v>6.5675400000000002</v>
      </c>
      <c r="S22" s="31">
        <f t="shared" si="4"/>
        <v>14.323259999999998</v>
      </c>
    </row>
    <row r="23" spans="1:19" s="8" customFormat="1" ht="20">
      <c r="A23" s="7"/>
      <c r="B23" s="7" t="s">
        <v>35</v>
      </c>
      <c r="C23" s="7">
        <v>5.4250000000000001E-3</v>
      </c>
      <c r="D23" s="7">
        <v>3.2253499999999997E-2</v>
      </c>
      <c r="E23" s="7">
        <v>0</v>
      </c>
      <c r="F23" s="40">
        <f>E23*$E$16*$F$16</f>
        <v>0</v>
      </c>
      <c r="G23" s="40"/>
      <c r="H23" s="40">
        <f>S23</f>
        <v>13.513080000000002</v>
      </c>
      <c r="I23" s="7">
        <v>0.41089999999999999</v>
      </c>
      <c r="J23" s="7"/>
      <c r="K23" s="38">
        <f>((I23)*(J$17)-H23-F23-(K$17)*(D23))/C23</f>
        <v>446.38533343386831</v>
      </c>
      <c r="L23" s="38">
        <f t="shared" si="0"/>
        <v>1867.676235087305</v>
      </c>
      <c r="M23" s="38">
        <f t="shared" si="1"/>
        <v>1.8676762350873051</v>
      </c>
      <c r="N23" s="21"/>
      <c r="O23" s="18">
        <v>1.4784200000000001E-2</v>
      </c>
      <c r="P23" s="21">
        <f t="shared" si="2"/>
        <v>20.697880000000001</v>
      </c>
      <c r="Q23" s="31">
        <v>5.1320000000000003E-3</v>
      </c>
      <c r="R23" s="21">
        <f t="shared" si="3"/>
        <v>7.1848000000000001</v>
      </c>
      <c r="S23" s="21">
        <f t="shared" si="4"/>
        <v>13.513080000000002</v>
      </c>
    </row>
    <row r="24" spans="1:19" ht="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9" ht="20">
      <c r="A25" s="2"/>
      <c r="B25" s="2"/>
      <c r="C25" s="2"/>
      <c r="D25" s="2"/>
      <c r="E25" s="2"/>
      <c r="F25" s="2"/>
      <c r="G25" s="2"/>
      <c r="H25" s="2"/>
      <c r="I25" s="36" t="s">
        <v>34</v>
      </c>
      <c r="J25" s="2" t="s">
        <v>59</v>
      </c>
      <c r="K25" s="39">
        <f>AVERAGE(K19:K21)</f>
        <v>3170.0223803430854</v>
      </c>
      <c r="L25" s="39">
        <f>AVERAGE(L19:L21)</f>
        <v>13263.37363935547</v>
      </c>
      <c r="M25" s="39">
        <f>AVERAGE(M19:M21)</f>
        <v>13.26337363935547</v>
      </c>
    </row>
    <row r="26" spans="1:19" ht="20">
      <c r="A26" s="2"/>
      <c r="B26" s="2"/>
      <c r="C26" s="2"/>
      <c r="D26" s="2"/>
      <c r="E26" s="2"/>
      <c r="F26" s="2"/>
      <c r="G26" s="2"/>
      <c r="H26" s="2"/>
      <c r="I26" s="2"/>
      <c r="J26" s="2" t="s">
        <v>6</v>
      </c>
      <c r="K26" s="39">
        <f>STDEV(K19:K21)</f>
        <v>92.343277790736266</v>
      </c>
      <c r="L26" s="39">
        <f>STDEV(L19:L21)</f>
        <v>386.36427427643986</v>
      </c>
      <c r="M26" s="39">
        <f>STDEV(M19:M21)</f>
        <v>0.38636427427643971</v>
      </c>
    </row>
    <row r="27" spans="1:19" ht="20">
      <c r="A27" s="2"/>
      <c r="B27" s="2"/>
      <c r="C27" s="2"/>
      <c r="D27" s="2"/>
      <c r="E27" s="2"/>
      <c r="F27" s="2"/>
      <c r="G27" s="2"/>
      <c r="H27" s="2"/>
      <c r="I27" s="2"/>
      <c r="J27" s="2" t="s">
        <v>5</v>
      </c>
      <c r="K27" s="6">
        <f>K26/K25</f>
        <v>2.9130165882533022E-2</v>
      </c>
      <c r="L27" s="6">
        <f>L26/L25</f>
        <v>2.913016588253297E-2</v>
      </c>
      <c r="M27" s="6">
        <f>M26/M25</f>
        <v>2.9130165882532959E-2</v>
      </c>
    </row>
    <row r="28" spans="1:19" ht="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1"/>
    </row>
    <row r="29" spans="1:19" ht="20">
      <c r="A29" s="2"/>
      <c r="B29" s="2"/>
      <c r="C29" s="2"/>
      <c r="D29" s="2"/>
      <c r="E29" s="2"/>
      <c r="F29" s="2"/>
      <c r="G29" s="2"/>
      <c r="H29" s="2"/>
      <c r="I29" s="36" t="s">
        <v>36</v>
      </c>
      <c r="J29" s="2" t="s">
        <v>59</v>
      </c>
      <c r="K29" s="39">
        <f>AVERAGE(K22:K23)</f>
        <v>434.50127317767885</v>
      </c>
      <c r="L29" s="39">
        <f>AVERAGE(L22:L23)</f>
        <v>1817.9533269754083</v>
      </c>
      <c r="M29" s="39">
        <f>AVERAGE(M22:M23)</f>
        <v>1.8179533269754085</v>
      </c>
    </row>
    <row r="30" spans="1:19" ht="20">
      <c r="A30" s="2"/>
      <c r="B30" s="2"/>
      <c r="C30" s="2"/>
      <c r="D30" s="2"/>
      <c r="E30" s="2"/>
      <c r="F30" s="2"/>
      <c r="G30" s="2"/>
      <c r="H30" s="2"/>
      <c r="I30" s="2"/>
      <c r="J30" s="2" t="s">
        <v>57</v>
      </c>
      <c r="K30" s="39">
        <f>(K23-K22)</f>
        <v>23.768120512378857</v>
      </c>
      <c r="L30" s="39">
        <f>(L23-L22)</f>
        <v>99.445816223793145</v>
      </c>
      <c r="M30" s="39">
        <f>(M23-M22)</f>
        <v>9.9445816223793226E-2</v>
      </c>
    </row>
    <row r="31" spans="1:19" ht="20">
      <c r="A31" s="2"/>
      <c r="B31" s="2"/>
      <c r="C31" s="2"/>
      <c r="D31" s="2"/>
      <c r="E31" s="2"/>
      <c r="F31" s="2"/>
      <c r="G31" s="2"/>
      <c r="H31" s="2"/>
      <c r="I31" s="2"/>
      <c r="J31" s="2" t="s">
        <v>58</v>
      </c>
      <c r="K31" s="6">
        <f>K30/K29</f>
        <v>5.4702073341588241E-2</v>
      </c>
      <c r="L31" s="6">
        <f>L30/L29</f>
        <v>5.4702073341588248E-2</v>
      </c>
      <c r="M31" s="6">
        <f>M30/M29</f>
        <v>5.4702073341588289E-2</v>
      </c>
    </row>
    <row r="32" spans="1:19" ht="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</row>
    <row r="33" spans="1:13" ht="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</row>
    <row r="34" spans="1:13" ht="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</row>
    <row r="35" spans="1:13" ht="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</row>
    <row r="36" spans="1:13" ht="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</row>
    <row r="37" spans="1:13" ht="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3">
    <mergeCell ref="A14:B14"/>
    <mergeCell ref="A1:B1"/>
    <mergeCell ref="O15:S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Calabration Bomb2</vt:lpstr>
      <vt:lpstr>Benzoic &amp; PLK check standard</vt:lpstr>
      <vt:lpstr>sedtrap with correction</vt:lpstr>
      <vt:lpstr>sedtrap with no N correction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Grabowski</dc:creator>
  <cp:lastModifiedBy>Eric  Grabowski</cp:lastModifiedBy>
  <dcterms:created xsi:type="dcterms:W3CDTF">2013-05-31T22:07:55Z</dcterms:created>
  <dcterms:modified xsi:type="dcterms:W3CDTF">2019-03-21T20:25:40Z</dcterms:modified>
</cp:coreProperties>
</file>