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more3/Desktop/Final Data Energy Paper/"/>
    </mc:Choice>
  </mc:AlternateContent>
  <xr:revisionPtr revIDLastSave="0" documentId="13_ncr:1_{F5157112-B522-B946-B0D3-0757517EE8A9}" xr6:coauthVersionLast="43" xr6:coauthVersionMax="43" xr10:uidLastSave="{00000000-0000-0000-0000-000000000000}"/>
  <bookViews>
    <workbookView xWindow="35720" yWindow="620" windowWidth="28780" windowHeight="17740" xr2:uid="{00000000-000D-0000-FFFF-FFFF00000000}"/>
  </bookViews>
  <sheets>
    <sheet name="Act. STANDARD" sheetId="1" r:id="rId1"/>
    <sheet name="PLK &amp; CHECK STANDARD" sheetId="8" r:id="rId2"/>
    <sheet name="Black Carbon" sheetId="18" r:id="rId3"/>
    <sheet name=" BC" sheetId="33" r:id="rId4"/>
  </sheets>
  <externalReferences>
    <externalReference r:id="rId5"/>
  </externalReferences>
  <definedNames>
    <definedName name="_xlnm.Print_Area" localSheetId="0">'Act. STANDARD'!$A$1:$J$42</definedName>
    <definedName name="_xlnm.Print_Area" localSheetId="2">'Black Carbon'!$A$1:$G$50</definedName>
    <definedName name="_xlnm.Print_Area" localSheetId="1">'PLK &amp; CHECK STANDARD'!$A$1:$O$16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2" i="33" l="1"/>
  <c r="E42" i="33" s="1"/>
  <c r="B18" i="18"/>
  <c r="C17" i="8"/>
  <c r="D9" i="18"/>
  <c r="C21" i="1"/>
  <c r="D9" i="8"/>
  <c r="B6" i="1"/>
  <c r="B7" i="1"/>
  <c r="B8" i="1"/>
  <c r="C12" i="1"/>
  <c r="D8" i="18" s="1"/>
  <c r="D33" i="33"/>
  <c r="E33" i="33"/>
  <c r="D34" i="33"/>
  <c r="E34" i="33"/>
  <c r="E18" i="33"/>
  <c r="F19" i="33" s="1"/>
  <c r="E19" i="33"/>
  <c r="D18" i="33"/>
  <c r="D19" i="33"/>
  <c r="K21" i="33"/>
  <c r="D9" i="33"/>
  <c r="E9" i="33" s="1"/>
  <c r="D10" i="33"/>
  <c r="I10" i="33" s="1"/>
  <c r="E10" i="33"/>
  <c r="L10" i="33" s="1"/>
  <c r="D11" i="33"/>
  <c r="E11" i="33"/>
  <c r="E46" i="33"/>
  <c r="D40" i="33"/>
  <c r="E40" i="33" s="1"/>
  <c r="D41" i="33"/>
  <c r="E41" i="33" s="1"/>
  <c r="M41" i="33" s="1"/>
  <c r="I42" i="33"/>
  <c r="E36" i="33"/>
  <c r="J36" i="33" s="1"/>
  <c r="H36" i="33"/>
  <c r="D24" i="33"/>
  <c r="E24" i="33" s="1"/>
  <c r="D25" i="33"/>
  <c r="E25" i="33" s="1"/>
  <c r="D26" i="33"/>
  <c r="I26" i="33" s="1"/>
  <c r="D32" i="33"/>
  <c r="E32" i="33" s="1"/>
  <c r="D30" i="33"/>
  <c r="E30" i="33" s="1"/>
  <c r="D31" i="33"/>
  <c r="E31" i="33" s="1"/>
  <c r="D29" i="33"/>
  <c r="E29" i="33"/>
  <c r="D28" i="33"/>
  <c r="E28" i="33" s="1"/>
  <c r="D27" i="33"/>
  <c r="E27" i="33" s="1"/>
  <c r="I24" i="33"/>
  <c r="I25" i="33"/>
  <c r="E21" i="33"/>
  <c r="H21" i="33"/>
  <c r="D17" i="33"/>
  <c r="E17" i="33" s="1"/>
  <c r="D15" i="33"/>
  <c r="E15" i="33" s="1"/>
  <c r="F17" i="33" s="1"/>
  <c r="D16" i="33"/>
  <c r="E16" i="33" s="1"/>
  <c r="D14" i="33"/>
  <c r="E14" i="33"/>
  <c r="D13" i="33"/>
  <c r="E13" i="33" s="1"/>
  <c r="D12" i="33"/>
  <c r="E12" i="33"/>
  <c r="L11" i="33"/>
  <c r="I11" i="33"/>
  <c r="C20" i="8"/>
  <c r="C22" i="1"/>
  <c r="C19" i="8"/>
  <c r="C16" i="8"/>
  <c r="C18" i="8"/>
  <c r="B2" i="18"/>
  <c r="C2" i="18"/>
  <c r="C2" i="8"/>
  <c r="B2" i="8"/>
  <c r="C23" i="1"/>
  <c r="E26" i="33" l="1"/>
  <c r="I41" i="33"/>
  <c r="F34" i="33"/>
  <c r="M42" i="33"/>
  <c r="J26" i="33"/>
  <c r="J21" i="33"/>
  <c r="M10" i="33" s="1"/>
  <c r="F11" i="33"/>
  <c r="M9" i="33"/>
  <c r="L9" i="33"/>
  <c r="G11" i="33"/>
  <c r="D31" i="18"/>
  <c r="E16" i="8"/>
  <c r="F26" i="33"/>
  <c r="M36" i="33" s="1"/>
  <c r="M24" i="33"/>
  <c r="L24" i="33"/>
  <c r="G26" i="33"/>
  <c r="D44" i="18"/>
  <c r="D52" i="18"/>
  <c r="C17" i="18"/>
  <c r="C21" i="18"/>
  <c r="D45" i="18"/>
  <c r="C38" i="18"/>
  <c r="C16" i="18"/>
  <c r="D32" i="18"/>
  <c r="C25" i="18"/>
  <c r="C28" i="18"/>
  <c r="D51" i="18"/>
  <c r="D50" i="18"/>
  <c r="D30" i="18"/>
  <c r="C39" i="18"/>
  <c r="C35" i="18"/>
  <c r="D49" i="18"/>
  <c r="C46" i="18"/>
  <c r="F32" i="33"/>
  <c r="M26" i="33"/>
  <c r="M25" i="33"/>
  <c r="M40" i="33"/>
  <c r="G42" i="33"/>
  <c r="F42" i="33"/>
  <c r="C27" i="18"/>
  <c r="C41" i="18"/>
  <c r="L26" i="33"/>
  <c r="C36" i="18"/>
  <c r="C37" i="18"/>
  <c r="L25" i="33"/>
  <c r="C24" i="18"/>
  <c r="C45" i="18"/>
  <c r="E20" i="8"/>
  <c r="K36" i="33"/>
  <c r="C23" i="18"/>
  <c r="C43" i="18"/>
  <c r="C48" i="18"/>
  <c r="D8" i="8"/>
  <c r="C40" i="18"/>
  <c r="C19" i="18"/>
  <c r="C33" i="18"/>
  <c r="I40" i="33"/>
  <c r="J42" i="33" s="1"/>
  <c r="C22" i="18"/>
  <c r="C42" i="18"/>
  <c r="C47" i="18"/>
  <c r="C26" i="18"/>
  <c r="C20" i="18"/>
  <c r="C34" i="18"/>
  <c r="I9" i="33"/>
  <c r="J11" i="33" s="1"/>
  <c r="C29" i="18"/>
  <c r="E18" i="8"/>
  <c r="M21" i="33" l="1"/>
  <c r="M11" i="33"/>
  <c r="H11" i="33"/>
  <c r="H16" i="8"/>
  <c r="G16" i="8"/>
  <c r="F16" i="8"/>
  <c r="G20" i="8"/>
  <c r="H20" i="8"/>
  <c r="I20" i="8" s="1"/>
  <c r="J20" i="8" s="1"/>
  <c r="F20" i="8"/>
  <c r="H42" i="33"/>
  <c r="H18" i="8"/>
  <c r="I18" i="8" s="1"/>
  <c r="J18" i="8" s="1"/>
  <c r="F18" i="8"/>
  <c r="G18" i="8"/>
  <c r="O42" i="33"/>
  <c r="N42" i="33"/>
  <c r="H26" i="33"/>
  <c r="Q11" i="33"/>
  <c r="R11" i="33"/>
  <c r="S11" i="33" s="1"/>
  <c r="Q26" i="33"/>
  <c r="R26" i="33"/>
  <c r="S26" i="33" s="1"/>
  <c r="N11" i="33"/>
  <c r="O11" i="33"/>
  <c r="E19" i="8"/>
  <c r="E17" i="8"/>
  <c r="O26" i="33"/>
  <c r="P26" i="33" s="1"/>
  <c r="N26" i="33"/>
  <c r="P11" i="33" l="1"/>
  <c r="P42" i="33"/>
  <c r="F17" i="8"/>
  <c r="G17" i="8"/>
  <c r="H17" i="8"/>
  <c r="I17" i="8" s="1"/>
  <c r="J17" i="8" s="1"/>
  <c r="F19" i="8"/>
  <c r="G19" i="8"/>
  <c r="H19" i="8"/>
  <c r="I19" i="8" s="1"/>
  <c r="J19" i="8" s="1"/>
  <c r="H24" i="8"/>
  <c r="I16" i="8"/>
  <c r="J16" i="8" s="1"/>
  <c r="H22" i="8"/>
  <c r="H21" i="8" l="1"/>
  <c r="I21" i="8" s="1"/>
  <c r="J21" i="8" s="1"/>
  <c r="H23" i="8" l="1"/>
</calcChain>
</file>

<file path=xl/sharedStrings.xml><?xml version="1.0" encoding="utf-8"?>
<sst xmlns="http://schemas.openxmlformats.org/spreadsheetml/2006/main" count="181" uniqueCount="89">
  <si>
    <t>Weight</t>
  </si>
  <si>
    <t>C (ug)</t>
  </si>
  <si>
    <t>sample name</t>
  </si>
  <si>
    <t>weight(ug)</t>
  </si>
  <si>
    <t>C value (ug)</t>
  </si>
  <si>
    <t>C (uV) Reading</t>
  </si>
  <si>
    <t>AVERAGE</t>
  </si>
  <si>
    <t>STDEV</t>
  </si>
  <si>
    <t>CV</t>
  </si>
  <si>
    <t>% RECOVERY C</t>
  </si>
  <si>
    <t>NAME</t>
  </si>
  <si>
    <t>Slope</t>
  </si>
  <si>
    <t>CARBON</t>
  </si>
  <si>
    <t>ERIC G</t>
  </si>
  <si>
    <t>DATE</t>
  </si>
  <si>
    <t>Standard (Acetanilide)</t>
  </si>
  <si>
    <t>Capsule Blanks</t>
  </si>
  <si>
    <t>Carbon</t>
  </si>
  <si>
    <t>BLANK 1</t>
  </si>
  <si>
    <t>BLANK 2</t>
  </si>
  <si>
    <t>BLANK 3</t>
  </si>
  <si>
    <t>RUN NAME</t>
  </si>
  <si>
    <t>CHECK S1</t>
  </si>
  <si>
    <t>diff C</t>
  </si>
  <si>
    <t>C (µg)</t>
  </si>
  <si>
    <t>Reading (µV)</t>
  </si>
  <si>
    <t>µV</t>
  </si>
  <si>
    <t>Cap Bl</t>
  </si>
  <si>
    <r>
      <t>CHECK S</t>
    </r>
    <r>
      <rPr>
        <sz val="10"/>
        <rFont val="Arial"/>
      </rPr>
      <t>2</t>
    </r>
  </si>
  <si>
    <t>%  C</t>
  </si>
  <si>
    <t>Sample</t>
  </si>
  <si>
    <t>Std/Ref</t>
  </si>
  <si>
    <t xml:space="preserve"> Name</t>
  </si>
  <si>
    <t>measured</t>
  </si>
  <si>
    <t>Exeter CHN analyses</t>
  </si>
  <si>
    <t>ugC</t>
  </si>
  <si>
    <t>% C</t>
  </si>
  <si>
    <t>Name</t>
  </si>
  <si>
    <t>Average</t>
  </si>
  <si>
    <t>STDEV/Diff</t>
  </si>
  <si>
    <t>Standard (Acetanilide-Dried)</t>
  </si>
  <si>
    <t>Acetanilide</t>
  </si>
  <si>
    <t>ug sample weighed</t>
  </si>
  <si>
    <t>ugC per ug sample</t>
  </si>
  <si>
    <t>CHECK S3</t>
  </si>
  <si>
    <t>Black Carbon</t>
  </si>
  <si>
    <t>AL6-Low Flux-BC</t>
  </si>
  <si>
    <t>AL6-Low Flux-IC/BC</t>
  </si>
  <si>
    <t>AL6-Low Flux-OC</t>
  </si>
  <si>
    <t>AL6-Low Flux-TC</t>
  </si>
  <si>
    <t>std1 0.7731</t>
  </si>
  <si>
    <t>AL8-High Flux-BC</t>
  </si>
  <si>
    <t>AL8-High Flux-IC/BC</t>
  </si>
  <si>
    <t>AL8-High Flux-OC</t>
  </si>
  <si>
    <t>AL8-High Flux-TC</t>
  </si>
  <si>
    <t>std 1.0567</t>
  </si>
  <si>
    <t>std 0.7787</t>
  </si>
  <si>
    <t>%</t>
  </si>
  <si>
    <t>Black C</t>
  </si>
  <si>
    <t>of</t>
  </si>
  <si>
    <t>% PIC</t>
  </si>
  <si>
    <t xml:space="preserve">total mass (ug) weighed </t>
  </si>
  <si>
    <t xml:space="preserve">Black Carbon </t>
  </si>
  <si>
    <t xml:space="preserve">of POC </t>
  </si>
  <si>
    <t>ugBC per ug sample</t>
  </si>
  <si>
    <t>% BC</t>
  </si>
  <si>
    <t>Total C</t>
  </si>
  <si>
    <t>% TC</t>
  </si>
  <si>
    <t>ugPIC per ug sample</t>
  </si>
  <si>
    <t>Calculated POC (TC-PIC)</t>
  </si>
  <si>
    <t>Calculated % PIC</t>
  </si>
  <si>
    <t>NIST -BC</t>
  </si>
  <si>
    <t>NIST - BC</t>
  </si>
  <si>
    <t>NIST - TOC (previous)</t>
  </si>
  <si>
    <t>ALOHA-6 - low - C (previous)</t>
  </si>
  <si>
    <t>ALOHA-8 - high C (previous)</t>
  </si>
  <si>
    <t>PIC</t>
  </si>
  <si>
    <t xml:space="preserve">of TC </t>
  </si>
  <si>
    <t>CV/%diff</t>
  </si>
  <si>
    <t>Calculated POC (TC-BC-PIC)</t>
  </si>
  <si>
    <t>n</t>
  </si>
  <si>
    <t>% error</t>
  </si>
  <si>
    <t>blk</t>
  </si>
  <si>
    <t>std 451.2</t>
  </si>
  <si>
    <t>Black Carbon AL 6 &amp; 8</t>
  </si>
  <si>
    <t>expected-average</t>
  </si>
  <si>
    <t>BK1</t>
  </si>
  <si>
    <t>BK2</t>
  </si>
  <si>
    <t>std1 0.0068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</si>
</sst>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.0%"/>
  </numFmts>
  <fonts count="34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</font>
    <font>
      <sz val="10"/>
      <color indexed="10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b/>
      <sz val="11"/>
      <name val="Comic Sans MS"/>
      <family val="4"/>
    </font>
    <font>
      <b/>
      <u/>
      <sz val="11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i/>
      <u/>
      <sz val="10"/>
      <name val="Arial"/>
    </font>
    <font>
      <b/>
      <sz val="20"/>
      <name val="Arial"/>
      <family val="2"/>
    </font>
    <font>
      <sz val="12"/>
      <color theme="1"/>
      <name val="Calibri"/>
      <family val="2"/>
      <scheme val="minor"/>
    </font>
    <font>
      <sz val="10"/>
      <color rgb="FFFF0000"/>
      <name val="Arial"/>
    </font>
    <font>
      <sz val="10"/>
      <color rgb="FFFF660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rgb="FFFF0000"/>
      <name val="Arial"/>
    </font>
    <font>
      <b/>
      <sz val="11"/>
      <color rgb="FF0000FF"/>
      <name val="Arial"/>
    </font>
    <font>
      <b/>
      <sz val="10"/>
      <color rgb="FF0000FF"/>
      <name val="Arial"/>
    </font>
    <font>
      <b/>
      <sz val="10"/>
      <color rgb="FFDD080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ck">
        <color indexed="19"/>
      </left>
      <right style="thick">
        <color indexed="19"/>
      </right>
      <top style="thick">
        <color indexed="19"/>
      </top>
      <bottom style="thick">
        <color indexed="19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/>
      <diagonal/>
    </border>
    <border>
      <left/>
      <right style="thick">
        <color indexed="12"/>
      </right>
      <top/>
      <bottom/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12"/>
      </left>
      <right style="thin">
        <color indexed="8"/>
      </right>
      <top style="thin">
        <color indexed="8"/>
      </top>
      <bottom/>
      <diagonal/>
    </border>
    <border>
      <left style="thick">
        <color indexed="12"/>
      </left>
      <right style="thin">
        <color theme="1"/>
      </right>
      <top style="thick">
        <color indexed="12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indexed="12"/>
      </top>
      <bottom style="thin">
        <color theme="1"/>
      </bottom>
      <diagonal/>
    </border>
    <border>
      <left style="thin">
        <color theme="1"/>
      </left>
      <right style="thick">
        <color indexed="12"/>
      </right>
      <top style="thick">
        <color indexed="12"/>
      </top>
      <bottom style="thin">
        <color theme="1"/>
      </bottom>
      <diagonal/>
    </border>
    <border>
      <left style="thick">
        <color indexed="12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indexed="12"/>
      </right>
      <top style="thin">
        <color theme="1"/>
      </top>
      <bottom style="thin">
        <color theme="1"/>
      </bottom>
      <diagonal/>
    </border>
    <border>
      <left style="thick">
        <color indexed="12"/>
      </left>
      <right style="thin">
        <color theme="1"/>
      </right>
      <top style="thin">
        <color theme="1"/>
      </top>
      <bottom style="thick">
        <color indexed="1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indexed="12"/>
      </bottom>
      <diagonal/>
    </border>
    <border>
      <left style="thin">
        <color theme="1"/>
      </left>
      <right style="thick">
        <color indexed="12"/>
      </right>
      <top style="thin">
        <color theme="1"/>
      </top>
      <bottom style="thick">
        <color indexed="12"/>
      </bottom>
      <diagonal/>
    </border>
  </borders>
  <cellStyleXfs count="1601">
    <xf numFmtId="0" fontId="0" fillId="0" borderId="0"/>
    <xf numFmtId="0" fontId="2" fillId="0" borderId="0"/>
    <xf numFmtId="0" fontId="2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8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9" fontId="0" fillId="0" borderId="0" xfId="3" applyFont="1"/>
    <xf numFmtId="0" fontId="5" fillId="0" borderId="0" xfId="0" applyFont="1"/>
    <xf numFmtId="9" fontId="5" fillId="0" borderId="0" xfId="3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9" fontId="8" fillId="0" borderId="0" xfId="3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0" fillId="0" borderId="0" xfId="0" applyBorder="1"/>
    <xf numFmtId="0" fontId="3" fillId="0" borderId="0" xfId="0" applyFont="1" applyBorder="1"/>
    <xf numFmtId="165" fontId="5" fillId="0" borderId="0" xfId="0" applyNumberFormat="1" applyFont="1"/>
    <xf numFmtId="2" fontId="0" fillId="0" borderId="0" xfId="0" applyNumberFormat="1"/>
    <xf numFmtId="0" fontId="0" fillId="0" borderId="0" xfId="0" applyAlignment="1">
      <alignment wrapText="1"/>
    </xf>
    <xf numFmtId="9" fontId="2" fillId="0" borderId="0" xfId="3" applyNumberFormat="1"/>
    <xf numFmtId="165" fontId="2" fillId="0" borderId="0" xfId="0" applyNumberFormat="1" applyFont="1"/>
    <xf numFmtId="2" fontId="2" fillId="0" borderId="0" xfId="0" applyNumberFormat="1" applyFont="1"/>
    <xf numFmtId="167" fontId="0" fillId="0" borderId="0" xfId="3" applyNumberFormat="1" applyFont="1"/>
    <xf numFmtId="2" fontId="3" fillId="0" borderId="1" xfId="0" applyNumberFormat="1" applyFont="1" applyBorder="1"/>
    <xf numFmtId="14" fontId="1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ont="1"/>
    <xf numFmtId="0" fontId="13" fillId="0" borderId="0" xfId="0" applyFont="1"/>
    <xf numFmtId="0" fontId="10" fillId="0" borderId="2" xfId="0" applyFont="1" applyFill="1" applyBorder="1" applyAlignment="1">
      <alignment horizontal="center"/>
    </xf>
    <xf numFmtId="0" fontId="19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Fill="1" applyBorder="1"/>
    <xf numFmtId="0" fontId="19" fillId="0" borderId="6" xfId="0" applyFont="1" applyFill="1" applyBorder="1"/>
    <xf numFmtId="0" fontId="16" fillId="0" borderId="6" xfId="0" applyFont="1" applyFill="1" applyBorder="1"/>
    <xf numFmtId="0" fontId="0" fillId="0" borderId="6" xfId="0" applyFill="1" applyBorder="1"/>
    <xf numFmtId="0" fontId="0" fillId="0" borderId="6" xfId="0" applyBorder="1"/>
    <xf numFmtId="0" fontId="0" fillId="0" borderId="7" xfId="0" applyBorder="1"/>
    <xf numFmtId="0" fontId="6" fillId="0" borderId="5" xfId="0" applyFont="1" applyFill="1" applyBorder="1"/>
    <xf numFmtId="0" fontId="6" fillId="0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6" fillId="0" borderId="7" xfId="0" applyFont="1" applyFill="1" applyBorder="1" applyAlignment="1">
      <alignment horizontal="center"/>
    </xf>
    <xf numFmtId="0" fontId="6" fillId="0" borderId="6" xfId="0" applyFont="1" applyBorder="1"/>
    <xf numFmtId="0" fontId="0" fillId="0" borderId="7" xfId="0" applyFill="1" applyBorder="1"/>
    <xf numFmtId="0" fontId="3" fillId="0" borderId="5" xfId="0" applyFont="1" applyFill="1" applyBorder="1"/>
    <xf numFmtId="166" fontId="4" fillId="0" borderId="6" xfId="0" applyNumberFormat="1" applyFont="1" applyFill="1" applyBorder="1"/>
    <xf numFmtId="0" fontId="3" fillId="0" borderId="6" xfId="0" applyFont="1" applyBorder="1"/>
    <xf numFmtId="166" fontId="4" fillId="0" borderId="7" xfId="0" applyNumberFormat="1" applyFont="1" applyFill="1" applyBorder="1"/>
    <xf numFmtId="0" fontId="3" fillId="0" borderId="8" xfId="0" applyFont="1" applyFill="1" applyBorder="1"/>
    <xf numFmtId="2" fontId="4" fillId="0" borderId="9" xfId="0" applyNumberFormat="1" applyFont="1" applyFill="1" applyBorder="1"/>
    <xf numFmtId="0" fontId="3" fillId="0" borderId="9" xfId="0" applyFont="1" applyBorder="1"/>
    <xf numFmtId="2" fontId="4" fillId="0" borderId="10" xfId="0" applyNumberFormat="1" applyFont="1" applyFill="1" applyBorder="1"/>
    <xf numFmtId="0" fontId="18" fillId="2" borderId="2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0" fontId="18" fillId="2" borderId="4" xfId="0" applyFont="1" applyFill="1" applyBorder="1" applyAlignment="1">
      <alignment horizontal="center" wrapText="1"/>
    </xf>
    <xf numFmtId="2" fontId="0" fillId="2" borderId="6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1" fontId="5" fillId="0" borderId="7" xfId="0" applyNumberFormat="1" applyFont="1" applyBorder="1"/>
    <xf numFmtId="1" fontId="20" fillId="2" borderId="7" xfId="0" applyNumberFormat="1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8" xfId="0" applyBorder="1"/>
    <xf numFmtId="166" fontId="3" fillId="0" borderId="9" xfId="0" applyNumberFormat="1" applyFont="1" applyBorder="1"/>
    <xf numFmtId="166" fontId="3" fillId="0" borderId="10" xfId="0" applyNumberFormat="1" applyFont="1" applyBorder="1"/>
    <xf numFmtId="0" fontId="6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/>
    <xf numFmtId="2" fontId="4" fillId="0" borderId="0" xfId="0" applyNumberFormat="1" applyFont="1" applyFill="1" applyBorder="1"/>
    <xf numFmtId="0" fontId="18" fillId="2" borderId="0" xfId="0" applyFont="1" applyFill="1" applyBorder="1" applyAlignment="1">
      <alignment horizontal="center" wrapText="1"/>
    </xf>
    <xf numFmtId="2" fontId="3" fillId="0" borderId="0" xfId="0" applyNumberFormat="1" applyFont="1"/>
    <xf numFmtId="9" fontId="3" fillId="0" borderId="0" xfId="3" applyFont="1"/>
    <xf numFmtId="0" fontId="10" fillId="0" borderId="11" xfId="0" applyFont="1" applyFill="1" applyBorder="1" applyAlignment="1">
      <alignment horizontal="center"/>
    </xf>
    <xf numFmtId="0" fontId="19" fillId="0" borderId="12" xfId="0" applyFont="1" applyFill="1" applyBorder="1"/>
    <xf numFmtId="14" fontId="3" fillId="0" borderId="12" xfId="0" applyNumberFormat="1" applyFont="1" applyFill="1" applyBorder="1" applyAlignment="1">
      <alignment horizontal="center"/>
    </xf>
    <xf numFmtId="0" fontId="0" fillId="0" borderId="13" xfId="0" applyFill="1" applyBorder="1"/>
    <xf numFmtId="0" fontId="19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0" fillId="0" borderId="0" xfId="0" applyBorder="1" applyAlignment="1">
      <alignment horizontal="right"/>
    </xf>
    <xf numFmtId="0" fontId="3" fillId="0" borderId="14" xfId="0" applyFont="1" applyFill="1" applyBorder="1"/>
    <xf numFmtId="0" fontId="2" fillId="0" borderId="15" xfId="0" applyFont="1" applyFill="1" applyBorder="1"/>
    <xf numFmtId="0" fontId="3" fillId="0" borderId="15" xfId="0" applyFont="1" applyFill="1" applyBorder="1"/>
    <xf numFmtId="0" fontId="27" fillId="0" borderId="0" xfId="0" applyFont="1"/>
    <xf numFmtId="0" fontId="3" fillId="0" borderId="0" xfId="0" applyFont="1" applyFill="1"/>
    <xf numFmtId="164" fontId="22" fillId="0" borderId="0" xfId="0" applyNumberFormat="1" applyFont="1"/>
    <xf numFmtId="2" fontId="22" fillId="0" borderId="0" xfId="0" applyNumberFormat="1" applyFont="1"/>
    <xf numFmtId="0" fontId="23" fillId="0" borderId="0" xfId="0" applyFont="1" applyAlignment="1">
      <alignment horizontal="center"/>
    </xf>
    <xf numFmtId="164" fontId="3" fillId="0" borderId="0" xfId="0" applyNumberFormat="1" applyFont="1"/>
    <xf numFmtId="164" fontId="0" fillId="0" borderId="0" xfId="0" applyNumberFormat="1"/>
    <xf numFmtId="0" fontId="3" fillId="0" borderId="12" xfId="0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164" fontId="2" fillId="0" borderId="15" xfId="0" applyNumberFormat="1" applyFont="1" applyFill="1" applyBorder="1"/>
    <xf numFmtId="2" fontId="2" fillId="0" borderId="15" xfId="0" applyNumberFormat="1" applyFont="1" applyFill="1" applyBorder="1"/>
    <xf numFmtId="0" fontId="3" fillId="0" borderId="18" xfId="0" applyFont="1" applyBorder="1"/>
    <xf numFmtId="164" fontId="5" fillId="0" borderId="0" xfId="0" applyNumberFormat="1" applyFont="1"/>
    <xf numFmtId="2" fontId="3" fillId="0" borderId="0" xfId="0" applyNumberFormat="1" applyFont="1" applyAlignment="1">
      <alignment horizontal="center"/>
    </xf>
    <xf numFmtId="0" fontId="6" fillId="0" borderId="21" xfId="0" applyFont="1" applyFill="1" applyBorder="1"/>
    <xf numFmtId="1" fontId="0" fillId="0" borderId="22" xfId="0" applyNumberFormat="1" applyFill="1" applyBorder="1" applyAlignment="1">
      <alignment horizontal="right"/>
    </xf>
    <xf numFmtId="0" fontId="6" fillId="0" borderId="22" xfId="0" applyFont="1" applyFill="1" applyBorder="1"/>
    <xf numFmtId="0" fontId="0" fillId="0" borderId="22" xfId="0" applyFill="1" applyBorder="1" applyAlignment="1">
      <alignment horizontal="right"/>
    </xf>
    <xf numFmtId="0" fontId="6" fillId="0" borderId="22" xfId="0" applyFont="1" applyBorder="1"/>
    <xf numFmtId="0" fontId="0" fillId="0" borderId="23" xfId="0" applyBorder="1" applyAlignment="1">
      <alignment horizontal="right"/>
    </xf>
    <xf numFmtId="0" fontId="6" fillId="0" borderId="24" xfId="0" applyFont="1" applyFill="1" applyBorder="1"/>
    <xf numFmtId="0" fontId="0" fillId="0" borderId="25" xfId="0" applyFill="1" applyBorder="1"/>
    <xf numFmtId="0" fontId="6" fillId="0" borderId="25" xfId="0" applyFont="1" applyFill="1" applyBorder="1"/>
    <xf numFmtId="0" fontId="6" fillId="0" borderId="25" xfId="0" applyFont="1" applyBorder="1"/>
    <xf numFmtId="0" fontId="0" fillId="0" borderId="26" xfId="0" applyBorder="1"/>
    <xf numFmtId="0" fontId="3" fillId="0" borderId="24" xfId="0" applyFont="1" applyFill="1" applyBorder="1"/>
    <xf numFmtId="0" fontId="3" fillId="0" borderId="25" xfId="0" applyFont="1" applyFill="1" applyBorder="1"/>
    <xf numFmtId="0" fontId="3" fillId="0" borderId="25" xfId="0" applyFont="1" applyBorder="1"/>
    <xf numFmtId="0" fontId="3" fillId="0" borderId="27" xfId="0" applyFont="1" applyFill="1" applyBorder="1"/>
    <xf numFmtId="0" fontId="3" fillId="0" borderId="28" xfId="0" applyFont="1" applyFill="1" applyBorder="1"/>
    <xf numFmtId="0" fontId="3" fillId="0" borderId="28" xfId="0" applyFont="1" applyBorder="1"/>
    <xf numFmtId="166" fontId="3" fillId="0" borderId="25" xfId="0" applyNumberFormat="1" applyFont="1" applyFill="1" applyBorder="1" applyAlignment="1">
      <alignment horizontal="center"/>
    </xf>
    <xf numFmtId="164" fontId="3" fillId="0" borderId="2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166" fontId="3" fillId="0" borderId="26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0" fontId="5" fillId="2" borderId="19" xfId="0" applyFont="1" applyFill="1" applyBorder="1" applyAlignment="1">
      <alignment horizontal="right"/>
    </xf>
    <xf numFmtId="0" fontId="5" fillId="0" borderId="20" xfId="0" applyFont="1" applyBorder="1"/>
    <xf numFmtId="0" fontId="13" fillId="0" borderId="0" xfId="0" applyFont="1" applyAlignment="1">
      <alignment horizontal="left"/>
    </xf>
    <xf numFmtId="0" fontId="0" fillId="0" borderId="0" xfId="0" applyFill="1"/>
    <xf numFmtId="166" fontId="24" fillId="0" borderId="0" xfId="0" applyNumberFormat="1" applyFont="1"/>
    <xf numFmtId="166" fontId="0" fillId="0" borderId="0" xfId="0" applyNumberFormat="1"/>
    <xf numFmtId="166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166" fontId="3" fillId="0" borderId="0" xfId="0" applyNumberFormat="1" applyFont="1"/>
    <xf numFmtId="166" fontId="0" fillId="0" borderId="0" xfId="0" applyNumberFormat="1" applyFont="1"/>
    <xf numFmtId="166" fontId="0" fillId="0" borderId="0" xfId="0" applyNumberFormat="1" applyFont="1" applyFill="1"/>
    <xf numFmtId="2" fontId="3" fillId="0" borderId="0" xfId="0" applyNumberFormat="1" applyFont="1" applyFill="1" applyAlignment="1">
      <alignment horizontal="right"/>
    </xf>
    <xf numFmtId="0" fontId="26" fillId="0" borderId="0" xfId="0" applyFont="1" applyAlignment="1">
      <alignment horizontal="right"/>
    </xf>
    <xf numFmtId="166" fontId="0" fillId="0" borderId="0" xfId="0" applyNumberFormat="1" applyAlignment="1">
      <alignment horizontal="center"/>
    </xf>
    <xf numFmtId="0" fontId="5" fillId="2" borderId="13" xfId="0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167" fontId="0" fillId="0" borderId="0" xfId="0" applyNumberFormat="1" applyFont="1"/>
    <xf numFmtId="166" fontId="3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3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32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center" wrapText="1"/>
    </xf>
    <xf numFmtId="166" fontId="30" fillId="0" borderId="0" xfId="0" applyNumberFormat="1" applyFont="1" applyAlignment="1">
      <alignment horizontal="center" wrapText="1"/>
    </xf>
    <xf numFmtId="2" fontId="30" fillId="0" borderId="0" xfId="0" applyNumberFormat="1" applyFont="1" applyFill="1" applyAlignment="1">
      <alignment horizontal="center"/>
    </xf>
    <xf numFmtId="2" fontId="30" fillId="0" borderId="0" xfId="0" applyNumberFormat="1" applyFont="1" applyFill="1" applyAlignment="1">
      <alignment horizontal="right"/>
    </xf>
    <xf numFmtId="2" fontId="30" fillId="0" borderId="0" xfId="0" applyNumberFormat="1" applyFont="1" applyAlignment="1">
      <alignment horizontal="center" wrapText="1"/>
    </xf>
    <xf numFmtId="164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13" fillId="0" borderId="0" xfId="0" applyNumberFormat="1" applyFont="1" applyFill="1"/>
    <xf numFmtId="164" fontId="13" fillId="0" borderId="0" xfId="0" applyNumberFormat="1" applyFont="1"/>
    <xf numFmtId="164" fontId="13" fillId="0" borderId="0" xfId="0" applyNumberFormat="1" applyFont="1" applyAlignment="1">
      <alignment horizontal="center"/>
    </xf>
    <xf numFmtId="167" fontId="32" fillId="0" borderId="0" xfId="0" applyNumberFormat="1" applyFont="1" applyAlignment="1">
      <alignment horizontal="center"/>
    </xf>
    <xf numFmtId="0" fontId="33" fillId="0" borderId="0" xfId="0" applyFont="1" applyAlignment="1">
      <alignment horizontal="left"/>
    </xf>
    <xf numFmtId="165" fontId="3" fillId="0" borderId="0" xfId="0" applyNumberFormat="1" applyFont="1"/>
    <xf numFmtId="167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7" fontId="0" fillId="0" borderId="0" xfId="0" applyNumberFormat="1"/>
    <xf numFmtId="0" fontId="30" fillId="0" borderId="0" xfId="0" applyFont="1" applyAlignment="1">
      <alignment horizontal="left"/>
    </xf>
  </cellXfs>
  <cellStyles count="160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Normal" xfId="0" builtinId="0"/>
    <cellStyle name="Normal 2" xfId="1" xr:uid="{00000000-0005-0000-0000-00003B060000}"/>
    <cellStyle name="Normal 3" xfId="2" xr:uid="{00000000-0005-0000-0000-00003C060000}"/>
    <cellStyle name="Normal 3 2" xfId="1451" xr:uid="{00000000-0005-0000-0000-00003D060000}"/>
    <cellStyle name="Normal 3 3" xfId="1452" xr:uid="{00000000-0005-0000-0000-00003E060000}"/>
    <cellStyle name="Percent" xfId="3" builtinId="5"/>
    <cellStyle name="Percent 2" xfId="4" xr:uid="{00000000-0005-0000-0000-00004006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Carbon</a:t>
            </a:r>
          </a:p>
        </c:rich>
      </c:tx>
      <c:layout>
        <c:manualLayout>
          <c:xMode val="edge"/>
          <c:yMode val="edge"/>
          <c:x val="0.22655140395186399"/>
          <c:y val="2.2148269202198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96871732496901"/>
          <c:y val="0.14850721784776899"/>
          <c:w val="0.76877429955402099"/>
          <c:h val="0.683399691317654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5.8348590572519898E-2"/>
                  <c:y val="-0.170773188235192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'Act. STANDARD'!$B$6:$B$9</c:f>
              <c:numCache>
                <c:formatCode>0.00</c:formatCode>
                <c:ptCount val="4"/>
                <c:pt idx="0">
                  <c:v>6.8957299999999995</c:v>
                </c:pt>
                <c:pt idx="1">
                  <c:v>369.45473000000004</c:v>
                </c:pt>
                <c:pt idx="2">
                  <c:v>754.76252999999997</c:v>
                </c:pt>
              </c:numCache>
            </c:numRef>
          </c:xVal>
          <c:yVal>
            <c:numRef>
              <c:f>'Act. STANDARD'!$C$6:$C$9</c:f>
              <c:numCache>
                <c:formatCode>General</c:formatCode>
                <c:ptCount val="4"/>
                <c:pt idx="0">
                  <c:v>211</c:v>
                </c:pt>
                <c:pt idx="1">
                  <c:v>7643</c:v>
                </c:pt>
                <c:pt idx="2">
                  <c:v>15606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B1-AF47-B13D-AF8EFD8E0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4401640"/>
        <c:axId val="-2129249128"/>
      </c:scatterChart>
      <c:valAx>
        <c:axId val="2064401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µg 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29249128"/>
        <c:crosses val="autoZero"/>
        <c:crossBetween val="midCat"/>
      </c:valAx>
      <c:valAx>
        <c:axId val="-2129249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Reading (µV)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0644016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Carbon Recovery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6500339143"/>
          <c:y val="0.14387758821813901"/>
          <c:w val="0.77517170493548504"/>
          <c:h val="0.678629476400198"/>
        </c:manualLayout>
      </c:layout>
      <c:scatterChart>
        <c:scatterStyle val="lineMarker"/>
        <c:varyColors val="0"/>
        <c:ser>
          <c:idx val="1"/>
          <c:order val="0"/>
          <c:tx>
            <c:v>Acetanilide</c:v>
          </c:tx>
          <c:spPr>
            <a:ln w="28575">
              <a:noFill/>
            </a:ln>
          </c:spPr>
          <c:xVal>
            <c:numRef>
              <c:f>'PLK &amp; CHECK STANDARD'!$C$16:$C$20</c:f>
              <c:numCache>
                <c:formatCode>0.00</c:formatCode>
                <c:ptCount val="5"/>
                <c:pt idx="0">
                  <c:v>4.8341199999999995</c:v>
                </c:pt>
                <c:pt idx="1">
                  <c:v>549.59678999999994</c:v>
                </c:pt>
                <c:pt idx="2">
                  <c:v>320.75808000000001</c:v>
                </c:pt>
                <c:pt idx="3">
                  <c:v>751.20803000000001</c:v>
                </c:pt>
                <c:pt idx="4">
                  <c:v>553.57783000000006</c:v>
                </c:pt>
              </c:numCache>
            </c:numRef>
          </c:xVal>
          <c:yVal>
            <c:numRef>
              <c:f>'PLK &amp; CHECK STANDARD'!$F$16:$F$20</c:f>
              <c:numCache>
                <c:formatCode>0.00</c:formatCode>
                <c:ptCount val="5"/>
                <c:pt idx="0">
                  <c:v>100.4868430233491</c:v>
                </c:pt>
                <c:pt idx="1">
                  <c:v>99.937811300505146</c:v>
                </c:pt>
                <c:pt idx="2">
                  <c:v>99.861472776873967</c:v>
                </c:pt>
                <c:pt idx="3">
                  <c:v>99.977894803550655</c:v>
                </c:pt>
                <c:pt idx="4">
                  <c:v>99.982537665014334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41-E548-9791-6C966B7B1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1669768"/>
        <c:axId val="-2092984120"/>
      </c:scatterChart>
      <c:valAx>
        <c:axId val="-2091669768"/>
        <c:scaling>
          <c:orientation val="minMax"/>
          <c:max val="10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µg 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92984120"/>
        <c:crosses val="autoZero"/>
        <c:crossBetween val="midCat"/>
      </c:valAx>
      <c:valAx>
        <c:axId val="-2092984120"/>
        <c:scaling>
          <c:orientation val="minMax"/>
          <c:max val="120"/>
          <c:min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Recovery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crossAx val="-20916697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3760175073483705"/>
          <c:y val="0.64423213764945997"/>
          <c:w val="0.17589339794064199"/>
          <c:h val="0.148762321376495"/>
        </c:manualLayout>
      </c:layout>
      <c:overlay val="0"/>
      <c:spPr>
        <a:solidFill>
          <a:schemeClr val="bg1"/>
        </a:solidFill>
        <a:ln w="15875"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% Carbon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6500339143"/>
          <c:y val="0.14387758821813901"/>
          <c:w val="0.77517170493548504"/>
          <c:h val="0.678629476400198"/>
        </c:manualLayout>
      </c:layout>
      <c:scatterChart>
        <c:scatterStyle val="lineMarker"/>
        <c:varyColors val="0"/>
        <c:ser>
          <c:idx val="1"/>
          <c:order val="0"/>
          <c:tx>
            <c:v>Acetanilide</c:v>
          </c:tx>
          <c:spPr>
            <a:ln w="28575">
              <a:noFill/>
            </a:ln>
          </c:spPr>
          <c:xVal>
            <c:numRef>
              <c:f>'PLK &amp; CHECK STANDARD'!$B$16:$B$20</c:f>
              <c:numCache>
                <c:formatCode>General</c:formatCode>
                <c:ptCount val="5"/>
                <c:pt idx="0">
                  <c:v>6.8</c:v>
                </c:pt>
                <c:pt idx="1">
                  <c:v>773.1</c:v>
                </c:pt>
                <c:pt idx="2">
                  <c:v>451.2</c:v>
                </c:pt>
                <c:pt idx="3">
                  <c:v>1056.7</c:v>
                </c:pt>
                <c:pt idx="4">
                  <c:v>778.7</c:v>
                </c:pt>
              </c:numCache>
            </c:numRef>
          </c:xVal>
          <c:yVal>
            <c:numRef>
              <c:f>'PLK &amp; CHECK STANDARD'!$H$16:$H$20</c:f>
              <c:numCache>
                <c:formatCode>0.0000</c:formatCode>
                <c:ptCount val="5"/>
                <c:pt idx="0">
                  <c:v>71.436096705298851</c:v>
                </c:pt>
                <c:pt idx="1">
                  <c:v>71.045790053529117</c:v>
                </c:pt>
                <c:pt idx="2">
                  <c:v>70.991520997079704</c:v>
                </c:pt>
                <c:pt idx="3">
                  <c:v>71.074285415844159</c:v>
                </c:pt>
                <c:pt idx="4">
                  <c:v>71.077586026058697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9D-D14B-BFD0-A19822EFF227}"/>
            </c:ext>
          </c:extLst>
        </c:ser>
        <c:ser>
          <c:idx val="0"/>
          <c:order val="1"/>
          <c:spPr>
            <a:ln w="28575">
              <a:noFill/>
            </a:ln>
          </c:spPr>
          <c:marker>
            <c:symbol val="diamond"/>
            <c:size val="2"/>
          </c:marker>
          <c:trendline>
            <c:name>Expected %C 71.09%</c:name>
            <c:spPr>
              <a:ln>
                <a:solidFill>
                  <a:srgbClr val="0000FF"/>
                </a:solidFill>
              </a:ln>
            </c:spPr>
            <c:trendlineType val="linear"/>
            <c:dispRSqr val="0"/>
            <c:dispEq val="0"/>
          </c:trendline>
          <c:xVal>
            <c:numRef>
              <c:f>'PLK &amp; CHECK STANDARD'!$H$54:$H$55</c:f>
              <c:numCache>
                <c:formatCode>General</c:formatCode>
                <c:ptCount val="2"/>
                <c:pt idx="0">
                  <c:v>0</c:v>
                </c:pt>
                <c:pt idx="1">
                  <c:v>1200</c:v>
                </c:pt>
              </c:numCache>
            </c:numRef>
          </c:xVal>
          <c:yVal>
            <c:numRef>
              <c:f>'PLK &amp; CHECK STANDARD'!$I$54:$I$55</c:f>
              <c:numCache>
                <c:formatCode>General</c:formatCode>
                <c:ptCount val="2"/>
                <c:pt idx="0">
                  <c:v>71.09</c:v>
                </c:pt>
                <c:pt idx="1">
                  <c:v>71.09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9D-D14B-BFD0-A19822EFF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3143784"/>
        <c:axId val="-2093004504"/>
      </c:scatterChart>
      <c:valAx>
        <c:axId val="-2093143784"/>
        <c:scaling>
          <c:orientation val="minMax"/>
          <c:max val="12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</a:t>
                </a:r>
                <a:r>
                  <a:rPr lang="en-US" baseline="0"/>
                  <a:t> mass (ug)</a:t>
                </a:r>
                <a:endParaRPr lang="en-U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93004504"/>
        <c:crosses val="autoZero"/>
        <c:crossBetween val="midCat"/>
        <c:majorUnit val="100"/>
      </c:valAx>
      <c:valAx>
        <c:axId val="-2093004504"/>
        <c:scaling>
          <c:orientation val="minMax"/>
          <c:max val="75"/>
          <c:min val="6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C (dry wt)</a:t>
                </a:r>
              </a:p>
            </c:rich>
          </c:tx>
          <c:layout>
            <c:manualLayout>
              <c:xMode val="edge"/>
              <c:yMode val="edge"/>
              <c:x val="1.9984110544026702E-2"/>
              <c:y val="0.370518518518518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crossAx val="-2093143784"/>
        <c:crosses val="autoZero"/>
        <c:crossBetween val="midCat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3760175073483705"/>
          <c:y val="0.64423213764945997"/>
          <c:w val="0.30691815266356398"/>
          <c:h val="0.148762321376495"/>
        </c:manualLayout>
      </c:layout>
      <c:overlay val="0"/>
      <c:spPr>
        <a:solidFill>
          <a:schemeClr val="bg1"/>
        </a:solidFill>
        <a:ln w="15875"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23</xdr:row>
      <xdr:rowOff>88900</xdr:rowOff>
    </xdr:from>
    <xdr:to>
      <xdr:col>5</xdr:col>
      <xdr:colOff>241300</xdr:colOff>
      <xdr:row>41</xdr:row>
      <xdr:rowOff>38100</xdr:rowOff>
    </xdr:to>
    <xdr:graphicFrame macro="">
      <xdr:nvGraphicFramePr>
        <xdr:cNvPr id="7260360" name="Chart 3">
          <a:extLst>
            <a:ext uri="{FF2B5EF4-FFF2-40B4-BE49-F238E27FC236}">
              <a16:creationId xmlns:a16="http://schemas.microsoft.com/office/drawing/2014/main" id="{00000000-0008-0000-0000-0000C8C86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480060</xdr:colOff>
      <xdr:row>28</xdr:row>
      <xdr:rowOff>58420</xdr:rowOff>
    </xdr:from>
    <xdr:to>
      <xdr:col>5</xdr:col>
      <xdr:colOff>645160</xdr:colOff>
      <xdr:row>50</xdr:row>
      <xdr:rowOff>134620</xdr:rowOff>
    </xdr:to>
    <xdr:graphicFrame macro="">
      <xdr:nvGraphicFramePr>
        <xdr:cNvPr id="7863379" name="Chart 7">
          <a:extLst>
            <a:ext uri="{FF2B5EF4-FFF2-40B4-BE49-F238E27FC236}">
              <a16:creationId xmlns:a16="http://schemas.microsoft.com/office/drawing/2014/main" id="{00000000-0008-0000-0100-000053FC7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812800</xdr:colOff>
      <xdr:row>28</xdr:row>
      <xdr:rowOff>40640</xdr:rowOff>
    </xdr:from>
    <xdr:to>
      <xdr:col>9</xdr:col>
      <xdr:colOff>967740</xdr:colOff>
      <xdr:row>50</xdr:row>
      <xdr:rowOff>116840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cGrabowski/Documents/Microsoft%20User%20Data/Office%202011%20AutoRecovery/BioLINKS%20Sedtrap2%20dead1%20final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"/>
      <sheetName val="PLK &amp; CHECK STANDARD"/>
      <sheetName val="BioLINK Sedtrap-dead samples"/>
      <sheetName val="DATA"/>
      <sheetName val="Plots"/>
    </sheetNames>
    <sheetDataSet>
      <sheetData sheetId="0">
        <row r="2">
          <cell r="B2" t="str">
            <v>ERIC G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7"/>
  <sheetViews>
    <sheetView tabSelected="1" zoomScale="125" zoomScaleNormal="125" zoomScalePageLayoutView="125" workbookViewId="0">
      <selection activeCell="A3" sqref="A3"/>
    </sheetView>
  </sheetViews>
  <sheetFormatPr baseColWidth="10" defaultColWidth="8.83203125" defaultRowHeight="13" x14ac:dyDescent="0.15"/>
  <cols>
    <col min="1" max="1" width="13.83203125" customWidth="1"/>
    <col min="2" max="2" width="12.6640625" customWidth="1"/>
    <col min="3" max="3" width="15.5" customWidth="1"/>
    <col min="4" max="4" width="15.33203125" customWidth="1"/>
    <col min="5" max="5" width="12.83203125" customWidth="1"/>
    <col min="6" max="6" width="17.5" customWidth="1"/>
    <col min="7" max="8" width="13.1640625" customWidth="1"/>
    <col min="9" max="9" width="20.83203125" customWidth="1"/>
    <col min="10" max="10" width="15.5" customWidth="1"/>
    <col min="11" max="11" width="16.6640625" customWidth="1"/>
    <col min="12" max="12" width="16.1640625" customWidth="1"/>
  </cols>
  <sheetData>
    <row r="1" spans="1:6" x14ac:dyDescent="0.15">
      <c r="A1" s="16" t="s">
        <v>14</v>
      </c>
      <c r="B1" s="16" t="s">
        <v>10</v>
      </c>
      <c r="D1" s="7" t="s">
        <v>21</v>
      </c>
      <c r="E1" s="3"/>
      <c r="F1" s="3"/>
    </row>
    <row r="2" spans="1:6" ht="16" x14ac:dyDescent="0.2">
      <c r="A2" s="20">
        <v>42894</v>
      </c>
      <c r="B2" s="35" t="s">
        <v>13</v>
      </c>
      <c r="D2" s="40" t="s">
        <v>84</v>
      </c>
      <c r="E2" s="15"/>
      <c r="F2" s="16"/>
    </row>
    <row r="3" spans="1:6" ht="12.75" customHeight="1" x14ac:dyDescent="0.2">
      <c r="A3" s="20"/>
      <c r="B3" s="19"/>
      <c r="D3" s="1"/>
      <c r="E3" s="15"/>
      <c r="F3" s="16"/>
    </row>
    <row r="4" spans="1:6" ht="19" thickBot="1" x14ac:dyDescent="0.25">
      <c r="A4" s="22" t="s">
        <v>40</v>
      </c>
      <c r="C4" s="13"/>
      <c r="E4" s="23"/>
    </row>
    <row r="5" spans="1:6" ht="33.75" customHeight="1" thickTop="1" x14ac:dyDescent="0.25">
      <c r="A5" s="65" t="s">
        <v>0</v>
      </c>
      <c r="B5" s="66" t="s">
        <v>24</v>
      </c>
      <c r="C5" s="66" t="s">
        <v>25</v>
      </c>
      <c r="D5" s="67"/>
      <c r="F5" s="80"/>
    </row>
    <row r="6" spans="1:6" x14ac:dyDescent="0.15">
      <c r="A6" s="131">
        <v>9.6999999999999993</v>
      </c>
      <c r="B6" s="68">
        <f>A6*0.7109</f>
        <v>6.8957299999999995</v>
      </c>
      <c r="C6" s="69">
        <v>211</v>
      </c>
      <c r="D6" s="70"/>
    </row>
    <row r="7" spans="1:6" x14ac:dyDescent="0.15">
      <c r="A7" s="131">
        <v>519.70000000000005</v>
      </c>
      <c r="B7" s="68">
        <f>A7*0.7109</f>
        <v>369.45473000000004</v>
      </c>
      <c r="C7" s="69">
        <v>7643</v>
      </c>
      <c r="D7" s="70"/>
    </row>
    <row r="8" spans="1:6" x14ac:dyDescent="0.15">
      <c r="A8" s="132">
        <v>1061.7</v>
      </c>
      <c r="B8" s="68">
        <f>A8*0.7109</f>
        <v>754.76252999999997</v>
      </c>
      <c r="C8" s="69">
        <v>15606</v>
      </c>
      <c r="D8" s="71"/>
    </row>
    <row r="9" spans="1:6" x14ac:dyDescent="0.15">
      <c r="A9" s="131"/>
      <c r="B9" s="68"/>
      <c r="C9" s="69"/>
      <c r="D9" s="72"/>
    </row>
    <row r="10" spans="1:6" x14ac:dyDescent="0.15">
      <c r="A10" s="145"/>
      <c r="B10" s="68"/>
      <c r="C10" s="69"/>
      <c r="D10" s="72"/>
    </row>
    <row r="11" spans="1:6" x14ac:dyDescent="0.15">
      <c r="A11" s="73"/>
      <c r="B11" s="55" t="s">
        <v>12</v>
      </c>
      <c r="C11" s="49"/>
      <c r="D11" s="50"/>
    </row>
    <row r="12" spans="1:6" ht="14" thickBot="1" x14ac:dyDescent="0.2">
      <c r="A12" s="74"/>
      <c r="B12" s="63" t="s">
        <v>11</v>
      </c>
      <c r="C12" s="75">
        <f>SLOPE(C6:C9,B6:B9)</f>
        <v>20.586066472260587</v>
      </c>
      <c r="D12" s="76"/>
    </row>
    <row r="13" spans="1:6" ht="14.25" customHeight="1" thickTop="1" x14ac:dyDescent="0.15">
      <c r="C13" s="12"/>
    </row>
    <row r="14" spans="1:6" ht="16" x14ac:dyDescent="0.2">
      <c r="A14" s="21" t="s">
        <v>16</v>
      </c>
    </row>
    <row r="15" spans="1:6" ht="12.75" customHeight="1" x14ac:dyDescent="0.2">
      <c r="A15" s="21"/>
      <c r="C15" s="1" t="s">
        <v>17</v>
      </c>
    </row>
    <row r="16" spans="1:6" x14ac:dyDescent="0.15">
      <c r="A16" s="1" t="s">
        <v>10</v>
      </c>
      <c r="B16" s="1"/>
      <c r="C16" s="36" t="s">
        <v>26</v>
      </c>
    </row>
    <row r="17" spans="1:12" x14ac:dyDescent="0.15">
      <c r="A17" s="2" t="s">
        <v>18</v>
      </c>
      <c r="B17" s="1"/>
      <c r="C17" s="143">
        <v>50</v>
      </c>
    </row>
    <row r="18" spans="1:12" x14ac:dyDescent="0.15">
      <c r="A18" s="2" t="s">
        <v>19</v>
      </c>
      <c r="B18" s="1"/>
      <c r="C18" s="143">
        <v>35</v>
      </c>
    </row>
    <row r="19" spans="1:12" x14ac:dyDescent="0.15">
      <c r="A19" s="2" t="s">
        <v>20</v>
      </c>
      <c r="B19" s="1"/>
      <c r="C19" s="143">
        <v>38</v>
      </c>
    </row>
    <row r="20" spans="1:12" ht="14" thickBot="1" x14ac:dyDescent="0.2">
      <c r="A20" s="39"/>
      <c r="B20" s="1"/>
      <c r="C20" s="143"/>
    </row>
    <row r="21" spans="1:12" ht="15" thickTop="1" thickBot="1" x14ac:dyDescent="0.2">
      <c r="B21" s="1" t="s">
        <v>6</v>
      </c>
      <c r="C21" s="33">
        <f>AVERAGE(C17:C20)</f>
        <v>41</v>
      </c>
    </row>
    <row r="22" spans="1:12" ht="14" thickTop="1" x14ac:dyDescent="0.15">
      <c r="B22" s="1" t="s">
        <v>7</v>
      </c>
      <c r="C22" s="27">
        <f>STDEV(C17:C20)</f>
        <v>7.9372539331937721</v>
      </c>
    </row>
    <row r="23" spans="1:12" x14ac:dyDescent="0.15">
      <c r="B23" s="1" t="s">
        <v>8</v>
      </c>
      <c r="C23" s="32">
        <f>C22/C21</f>
        <v>0.19359155934618957</v>
      </c>
    </row>
    <row r="25" spans="1:12" x14ac:dyDescent="0.15">
      <c r="A25" s="1"/>
      <c r="B25" s="5"/>
      <c r="C25" s="3"/>
      <c r="D25" s="3"/>
      <c r="E25" s="14"/>
      <c r="F25" s="3"/>
      <c r="G25" s="14"/>
      <c r="H25" s="3"/>
      <c r="I25" s="3"/>
      <c r="J25" s="3"/>
      <c r="K25" s="3"/>
      <c r="L25" s="3"/>
    </row>
    <row r="26" spans="1:12" x14ac:dyDescent="0.15">
      <c r="B26" s="5"/>
      <c r="E26" s="12"/>
      <c r="G26" s="12"/>
    </row>
    <row r="27" spans="1:12" x14ac:dyDescent="0.15">
      <c r="B27" s="5"/>
      <c r="E27" s="12"/>
      <c r="G27" s="12"/>
    </row>
    <row r="28" spans="1:12" x14ac:dyDescent="0.15">
      <c r="B28" s="5"/>
      <c r="E28" s="12"/>
      <c r="G28" s="12"/>
    </row>
    <row r="29" spans="1:12" x14ac:dyDescent="0.15">
      <c r="B29" s="5"/>
      <c r="E29" s="12"/>
      <c r="G29" s="12"/>
    </row>
    <row r="30" spans="1:12" x14ac:dyDescent="0.15">
      <c r="B30" s="5"/>
      <c r="E30" s="12"/>
      <c r="G30" s="12"/>
    </row>
    <row r="31" spans="1:12" x14ac:dyDescent="0.15">
      <c r="B31" s="5"/>
      <c r="E31" s="12"/>
      <c r="G31" s="12"/>
    </row>
    <row r="34" spans="1:12" x14ac:dyDescent="0.15">
      <c r="J34" s="1"/>
    </row>
    <row r="35" spans="1:12" x14ac:dyDescent="0.15">
      <c r="J35" s="1"/>
    </row>
    <row r="36" spans="1:12" x14ac:dyDescent="0.15">
      <c r="J36" s="1"/>
      <c r="K36" s="4"/>
      <c r="L36" s="4"/>
    </row>
    <row r="37" spans="1:12" x14ac:dyDescent="0.15">
      <c r="I37" s="1"/>
    </row>
    <row r="38" spans="1:12" x14ac:dyDescent="0.15">
      <c r="I38" s="1"/>
    </row>
    <row r="44" spans="1:12" x14ac:dyDescent="0.15">
      <c r="F44" s="7"/>
    </row>
    <row r="45" spans="1:12" x14ac:dyDescent="0.15">
      <c r="H45" s="4"/>
      <c r="I45" s="4"/>
      <c r="J45" s="4"/>
    </row>
    <row r="46" spans="1:12" x14ac:dyDescent="0.15">
      <c r="H46" s="4"/>
      <c r="I46" s="4"/>
      <c r="J46" s="4"/>
    </row>
    <row r="47" spans="1:12" x14ac:dyDescent="0.15">
      <c r="H47" s="4"/>
      <c r="I47" s="4"/>
      <c r="J47" s="4"/>
    </row>
    <row r="48" spans="1:12" x14ac:dyDescent="0.15">
      <c r="A48" s="5"/>
      <c r="B48" s="5"/>
      <c r="C48" s="5"/>
      <c r="D48" s="5"/>
      <c r="E48" s="5"/>
      <c r="F48" s="5"/>
      <c r="G48" s="5"/>
      <c r="H48" s="5"/>
      <c r="I48" s="5"/>
    </row>
    <row r="49" spans="1:9" x14ac:dyDescent="0.15">
      <c r="A49" s="5"/>
      <c r="B49" s="5"/>
      <c r="C49" s="5"/>
      <c r="D49" s="5"/>
      <c r="E49" s="5"/>
      <c r="F49" s="5"/>
      <c r="G49" s="5"/>
      <c r="H49" s="5"/>
      <c r="I49" s="5"/>
    </row>
    <row r="50" spans="1:9" x14ac:dyDescent="0.15">
      <c r="A50" s="5"/>
      <c r="B50" s="5"/>
      <c r="C50" s="5"/>
      <c r="D50" s="5"/>
      <c r="E50" s="5"/>
      <c r="F50" s="5"/>
      <c r="G50" s="5"/>
      <c r="H50" s="5"/>
      <c r="I50" s="5"/>
    </row>
    <row r="51" spans="1:9" x14ac:dyDescent="0.15">
      <c r="A51" s="5"/>
      <c r="B51" s="5"/>
      <c r="C51" s="5"/>
      <c r="D51" s="5"/>
      <c r="E51" s="5"/>
      <c r="F51" s="5"/>
      <c r="G51" s="5"/>
      <c r="H51" s="5"/>
      <c r="I51" s="5"/>
    </row>
    <row r="52" spans="1:9" x14ac:dyDescent="0.15">
      <c r="A52" s="5"/>
      <c r="B52" s="5"/>
      <c r="C52" s="5"/>
      <c r="D52" s="5"/>
      <c r="E52" s="5"/>
      <c r="F52" s="5"/>
      <c r="G52" s="5"/>
      <c r="H52" s="5"/>
      <c r="I52" s="5"/>
    </row>
    <row r="53" spans="1:9" x14ac:dyDescent="0.15">
      <c r="A53" s="5"/>
      <c r="B53" s="5"/>
      <c r="C53" s="5"/>
      <c r="D53" s="5"/>
      <c r="E53" s="5"/>
      <c r="F53" s="5"/>
      <c r="G53" s="5"/>
      <c r="H53" s="5"/>
      <c r="I53" s="5"/>
    </row>
    <row r="54" spans="1:9" x14ac:dyDescent="0.15">
      <c r="A54" s="5"/>
      <c r="B54" s="5"/>
      <c r="C54" s="5"/>
      <c r="D54" s="5"/>
      <c r="E54" s="5"/>
      <c r="F54" s="5"/>
      <c r="G54" s="5"/>
      <c r="H54" s="5"/>
      <c r="I54" s="5"/>
    </row>
    <row r="56" spans="1:9" x14ac:dyDescent="0.15">
      <c r="G56" s="5"/>
      <c r="H56" s="5"/>
      <c r="I56" s="5"/>
    </row>
    <row r="57" spans="1:9" x14ac:dyDescent="0.15">
      <c r="F57" s="8"/>
      <c r="G57" s="5"/>
      <c r="H57" s="5"/>
      <c r="I57" s="5"/>
    </row>
    <row r="58" spans="1:9" x14ac:dyDescent="0.15">
      <c r="G58" s="5"/>
      <c r="H58" s="6"/>
      <c r="I58" s="6"/>
    </row>
    <row r="60" spans="1:9" ht="18" x14ac:dyDescent="0.2">
      <c r="D60" s="13"/>
    </row>
    <row r="61" spans="1:9" x14ac:dyDescent="0.15">
      <c r="F61" s="7"/>
    </row>
    <row r="62" spans="1:9" x14ac:dyDescent="0.15">
      <c r="H62" s="4"/>
      <c r="I62" s="4"/>
    </row>
    <row r="67" spans="1:9" x14ac:dyDescent="0.15">
      <c r="A67" s="9"/>
      <c r="B67" s="9"/>
      <c r="C67" s="9"/>
      <c r="D67" s="9"/>
      <c r="E67" s="9"/>
      <c r="F67" s="9"/>
      <c r="G67" s="9"/>
      <c r="H67" s="9"/>
      <c r="I67" s="9"/>
    </row>
    <row r="68" spans="1:9" x14ac:dyDescent="0.15">
      <c r="A68" s="9"/>
      <c r="B68" s="9"/>
      <c r="C68" s="9"/>
      <c r="D68" s="9"/>
      <c r="E68" s="9"/>
      <c r="F68" s="9"/>
      <c r="G68" s="9"/>
      <c r="H68" s="9"/>
      <c r="I68" s="9"/>
    </row>
    <row r="69" spans="1:9" x14ac:dyDescent="0.15">
      <c r="A69" s="9"/>
      <c r="B69" s="9"/>
      <c r="C69" s="9"/>
      <c r="D69" s="9"/>
      <c r="E69" s="9"/>
      <c r="F69" s="9"/>
      <c r="G69" s="9"/>
      <c r="H69" s="9"/>
      <c r="I69" s="9"/>
    </row>
    <row r="70" spans="1:9" x14ac:dyDescent="0.15">
      <c r="A70" s="9"/>
      <c r="B70" s="9"/>
      <c r="C70" s="9"/>
      <c r="D70" s="9"/>
      <c r="E70" s="9"/>
      <c r="F70" s="9"/>
      <c r="G70" s="9"/>
      <c r="H70" s="9"/>
      <c r="I70" s="9"/>
    </row>
    <row r="71" spans="1:9" x14ac:dyDescent="0.15">
      <c r="A71" s="9"/>
      <c r="B71" s="9"/>
      <c r="C71" s="9"/>
      <c r="D71" s="9"/>
      <c r="E71" s="9"/>
      <c r="F71" s="9"/>
      <c r="G71" s="9"/>
      <c r="H71" s="9"/>
      <c r="I71" s="9"/>
    </row>
    <row r="72" spans="1:9" x14ac:dyDescent="0.15">
      <c r="A72" s="9"/>
      <c r="B72" s="9"/>
      <c r="C72" s="9"/>
      <c r="D72" s="9"/>
      <c r="E72" s="9"/>
      <c r="F72" s="9"/>
      <c r="G72" s="9"/>
      <c r="H72" s="9"/>
      <c r="I72" s="9"/>
    </row>
    <row r="73" spans="1:9" x14ac:dyDescent="0.15">
      <c r="A73" s="9"/>
      <c r="B73" s="9"/>
      <c r="C73" s="9"/>
      <c r="D73" s="9"/>
      <c r="E73" s="9"/>
      <c r="F73" s="9"/>
      <c r="G73" s="9"/>
      <c r="H73" s="9"/>
      <c r="I73" s="9"/>
    </row>
    <row r="74" spans="1:9" x14ac:dyDescent="0.15">
      <c r="A74" s="9"/>
      <c r="B74" s="9"/>
      <c r="C74" s="9"/>
      <c r="D74" s="9"/>
      <c r="E74" s="9"/>
      <c r="F74" s="9"/>
      <c r="G74" s="9"/>
      <c r="H74" s="9"/>
      <c r="I74" s="9"/>
    </row>
    <row r="75" spans="1:9" x14ac:dyDescent="0.15">
      <c r="A75" s="9"/>
      <c r="B75" s="9"/>
      <c r="C75" s="9"/>
      <c r="D75" s="9"/>
      <c r="E75" s="9"/>
      <c r="F75" s="9"/>
      <c r="G75" s="9"/>
      <c r="H75" s="9"/>
      <c r="I75" s="9"/>
    </row>
    <row r="76" spans="1:9" x14ac:dyDescent="0.15">
      <c r="A76" s="9"/>
      <c r="B76" s="9"/>
      <c r="C76" s="9"/>
      <c r="D76" s="9"/>
      <c r="E76" s="9"/>
      <c r="F76" s="10"/>
      <c r="G76" s="9"/>
      <c r="H76" s="9"/>
      <c r="I76" s="9"/>
    </row>
    <row r="77" spans="1:9" x14ac:dyDescent="0.15">
      <c r="A77" s="9"/>
      <c r="B77" s="9"/>
      <c r="C77" s="9"/>
      <c r="D77" s="9"/>
      <c r="E77" s="9"/>
      <c r="F77" s="9"/>
      <c r="G77" s="9"/>
      <c r="H77" s="11"/>
      <c r="I77" s="11"/>
    </row>
  </sheetData>
  <phoneticPr fontId="0" type="noConversion"/>
  <pageMargins left="0.75" right="0.75" top="1" bottom="1" header="0.5" footer="0.5"/>
  <pageSetup scale="75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5"/>
  <sheetViews>
    <sheetView zoomScale="125" zoomScaleNormal="125" zoomScalePageLayoutView="125" workbookViewId="0">
      <selection activeCell="K32" sqref="K32"/>
    </sheetView>
  </sheetViews>
  <sheetFormatPr baseColWidth="10" defaultColWidth="8.83203125" defaultRowHeight="13" x14ac:dyDescent="0.15"/>
  <cols>
    <col min="1" max="1" width="15.33203125" customWidth="1"/>
    <col min="2" max="2" width="11.83203125" customWidth="1"/>
    <col min="4" max="4" width="13.83203125" customWidth="1"/>
    <col min="5" max="5" width="11.5" customWidth="1"/>
    <col min="6" max="6" width="15.33203125" customWidth="1"/>
    <col min="7" max="7" width="15.5" customWidth="1"/>
    <col min="8" max="8" width="14.33203125" customWidth="1"/>
    <col min="9" max="9" width="15.83203125" customWidth="1"/>
    <col min="10" max="11" width="13.83203125" customWidth="1"/>
    <col min="12" max="12" width="16" customWidth="1"/>
    <col min="13" max="13" width="15.6640625" customWidth="1"/>
    <col min="14" max="14" width="14.1640625" customWidth="1"/>
    <col min="20" max="20" width="13.1640625" customWidth="1"/>
    <col min="21" max="21" width="13.83203125" customWidth="1"/>
    <col min="22" max="22" width="9.33203125" customWidth="1"/>
    <col min="23" max="23" width="9.6640625" customWidth="1"/>
    <col min="24" max="24" width="10.33203125" customWidth="1"/>
  </cols>
  <sheetData>
    <row r="1" spans="1:14" x14ac:dyDescent="0.15">
      <c r="B1" s="16" t="s">
        <v>14</v>
      </c>
      <c r="C1" s="16" t="s">
        <v>10</v>
      </c>
      <c r="G1" s="3"/>
    </row>
    <row r="2" spans="1:14" ht="16" x14ac:dyDescent="0.2">
      <c r="B2" s="34">
        <f>'Act. STANDARD'!A2</f>
        <v>42894</v>
      </c>
      <c r="C2" s="19" t="str">
        <f>'Act. STANDARD'!B2</f>
        <v>ERIC G</v>
      </c>
      <c r="G2" s="16"/>
    </row>
    <row r="3" spans="1:14" ht="13.5" customHeight="1" thickBot="1" x14ac:dyDescent="0.25">
      <c r="B3" s="20"/>
      <c r="C3" s="19"/>
      <c r="G3" s="16"/>
    </row>
    <row r="4" spans="1:14" ht="17" thickTop="1" x14ac:dyDescent="0.2">
      <c r="B4" s="20"/>
      <c r="C4" s="41"/>
      <c r="D4" s="42" t="s">
        <v>15</v>
      </c>
      <c r="E4" s="42"/>
      <c r="F4" s="42"/>
      <c r="G4" s="43"/>
      <c r="H4" s="44"/>
      <c r="I4" s="24"/>
    </row>
    <row r="5" spans="1:14" ht="12" customHeight="1" x14ac:dyDescent="0.2">
      <c r="C5" s="45"/>
      <c r="D5" s="46"/>
      <c r="E5" s="46"/>
      <c r="F5" s="47"/>
      <c r="G5" s="48"/>
      <c r="H5" s="50"/>
      <c r="I5" s="24"/>
    </row>
    <row r="6" spans="1:14" x14ac:dyDescent="0.15">
      <c r="A6" s="18"/>
      <c r="B6" s="17"/>
      <c r="C6" s="51"/>
      <c r="D6" s="52" t="s">
        <v>17</v>
      </c>
      <c r="E6" s="52"/>
      <c r="F6" s="52"/>
      <c r="G6" s="53"/>
      <c r="H6" s="54"/>
      <c r="I6" s="77"/>
    </row>
    <row r="7" spans="1:14" x14ac:dyDescent="0.15">
      <c r="A7" s="17"/>
      <c r="C7" s="51"/>
      <c r="D7" s="48"/>
      <c r="E7" s="48"/>
      <c r="F7" s="48"/>
      <c r="G7" s="55"/>
      <c r="H7" s="56"/>
      <c r="I7" s="37"/>
    </row>
    <row r="8" spans="1:14" x14ac:dyDescent="0.15">
      <c r="C8" s="57" t="s">
        <v>11</v>
      </c>
      <c r="D8" s="58">
        <f>'Act. STANDARD'!C12</f>
        <v>20.586066472260587</v>
      </c>
      <c r="E8" s="58"/>
      <c r="F8" s="58"/>
      <c r="G8" s="59"/>
      <c r="H8" s="60"/>
      <c r="I8" s="78"/>
    </row>
    <row r="9" spans="1:14" ht="14" thickBot="1" x14ac:dyDescent="0.2">
      <c r="C9" s="61" t="s">
        <v>27</v>
      </c>
      <c r="D9" s="62">
        <f>'Act. STANDARD'!C21</f>
        <v>41</v>
      </c>
      <c r="E9" s="62"/>
      <c r="F9" s="62"/>
      <c r="G9" s="63"/>
      <c r="H9" s="64"/>
      <c r="I9" s="79"/>
    </row>
    <row r="10" spans="1:14" ht="14" thickTop="1" x14ac:dyDescent="0.15">
      <c r="C10" s="38"/>
      <c r="D10" s="79"/>
      <c r="E10" s="79"/>
      <c r="F10" s="79"/>
      <c r="G10" s="25"/>
      <c r="H10" s="79"/>
      <c r="I10" s="79"/>
    </row>
    <row r="11" spans="1:14" x14ac:dyDescent="0.15">
      <c r="D11" s="28"/>
      <c r="E11" s="28"/>
      <c r="F11" s="28"/>
      <c r="G11" s="28"/>
      <c r="J11" s="1"/>
      <c r="K11" s="1"/>
      <c r="L11" s="29"/>
      <c r="M11" s="29"/>
      <c r="N11" s="29"/>
    </row>
    <row r="13" spans="1:14" x14ac:dyDescent="0.15">
      <c r="A13" s="7" t="s">
        <v>41</v>
      </c>
      <c r="I13" s="16" t="s">
        <v>85</v>
      </c>
      <c r="J13" s="16" t="s">
        <v>81</v>
      </c>
    </row>
    <row r="14" spans="1:14" x14ac:dyDescent="0.15">
      <c r="A14" s="1" t="s">
        <v>2</v>
      </c>
      <c r="B14" s="1" t="s">
        <v>3</v>
      </c>
      <c r="C14" s="16" t="s">
        <v>1</v>
      </c>
      <c r="D14" s="16" t="s">
        <v>5</v>
      </c>
      <c r="E14" s="16" t="s">
        <v>4</v>
      </c>
      <c r="F14" s="16" t="s">
        <v>9</v>
      </c>
      <c r="G14" s="16" t="s">
        <v>23</v>
      </c>
      <c r="H14" s="16" t="s">
        <v>29</v>
      </c>
      <c r="I14" s="16" t="s">
        <v>29</v>
      </c>
      <c r="J14" s="16"/>
    </row>
    <row r="15" spans="1:14" x14ac:dyDescent="0.15">
      <c r="B15" s="5"/>
    </row>
    <row r="16" spans="1:14" x14ac:dyDescent="0.15">
      <c r="A16" s="2" t="s">
        <v>22</v>
      </c>
      <c r="B16" s="5">
        <v>6.8</v>
      </c>
      <c r="C16" s="31">
        <f>B16*0.7109</f>
        <v>4.8341199999999995</v>
      </c>
      <c r="D16" s="5">
        <v>141</v>
      </c>
      <c r="E16" s="27">
        <f>(D16-(D$9))/D$8</f>
        <v>4.8576545759603222</v>
      </c>
      <c r="F16" s="27">
        <f>(E16/C16)*100</f>
        <v>100.4868430233491</v>
      </c>
      <c r="G16" s="30">
        <f>E16-C16</f>
        <v>2.3534575960322712E-2</v>
      </c>
      <c r="H16" s="144">
        <f>(E16/B16)*100</f>
        <v>71.436096705298851</v>
      </c>
      <c r="I16" s="136">
        <f>71.09-H16</f>
        <v>-0.34609670529884795</v>
      </c>
      <c r="J16" s="178">
        <f>I16/71.09</f>
        <v>-4.8684302334906166E-3</v>
      </c>
    </row>
    <row r="17" spans="1:12" x14ac:dyDescent="0.15">
      <c r="A17" s="2" t="s">
        <v>22</v>
      </c>
      <c r="B17" s="5">
        <v>773.1</v>
      </c>
      <c r="C17" s="31">
        <f>B17*0.7109</f>
        <v>549.59678999999994</v>
      </c>
      <c r="D17" s="5">
        <v>11348</v>
      </c>
      <c r="E17" s="27">
        <f>(D17-(D$9))/D$8</f>
        <v>549.25500290383354</v>
      </c>
      <c r="F17" s="27">
        <f>(E17/C17)*100</f>
        <v>99.937811300505146</v>
      </c>
      <c r="G17" s="30">
        <f>E17-C17</f>
        <v>-0.34178709616639935</v>
      </c>
      <c r="H17" s="144">
        <f>(E17/B17)*100</f>
        <v>71.045790053529117</v>
      </c>
      <c r="I17" s="136">
        <f t="shared" ref="I17:I20" si="0">71.09-H17</f>
        <v>4.4209946470886052E-2</v>
      </c>
      <c r="J17" s="178">
        <f t="shared" ref="J17:J20" si="1">I17/71.09</f>
        <v>6.2188699494846041E-4</v>
      </c>
    </row>
    <row r="18" spans="1:12" x14ac:dyDescent="0.15">
      <c r="A18" s="39" t="s">
        <v>28</v>
      </c>
      <c r="B18" s="5">
        <v>451.2</v>
      </c>
      <c r="C18" s="31">
        <f>B18*0.7109</f>
        <v>320.75808000000001</v>
      </c>
      <c r="D18" s="5">
        <v>6635</v>
      </c>
      <c r="E18" s="27">
        <f>(D18-(D$9))/D$8</f>
        <v>320.31374273882363</v>
      </c>
      <c r="F18" s="27">
        <f>(E18/C18)*100</f>
        <v>99.861472776873967</v>
      </c>
      <c r="G18" s="30">
        <f>E18-C18</f>
        <v>-0.44433726117637207</v>
      </c>
      <c r="H18" s="144">
        <f>(E18/B18)*100</f>
        <v>70.991520997079704</v>
      </c>
      <c r="I18" s="136">
        <f t="shared" si="0"/>
        <v>9.8479002920299763E-2</v>
      </c>
      <c r="J18" s="178">
        <f t="shared" si="1"/>
        <v>1.3852722312603708E-3</v>
      </c>
    </row>
    <row r="19" spans="1:12" x14ac:dyDescent="0.15">
      <c r="A19" s="39" t="s">
        <v>44</v>
      </c>
      <c r="B19" s="5">
        <v>1056.7</v>
      </c>
      <c r="C19" s="31">
        <f>B19*0.7109</f>
        <v>751.20803000000001</v>
      </c>
      <c r="D19" s="5">
        <v>15502</v>
      </c>
      <c r="E19" s="27">
        <f>(D19-(D$9))/D$8</f>
        <v>751.04197398922531</v>
      </c>
      <c r="F19" s="27">
        <f>(E19/C19)*100</f>
        <v>99.977894803550655</v>
      </c>
      <c r="G19" s="30">
        <f>E19-C19</f>
        <v>-0.16605601077469601</v>
      </c>
      <c r="H19" s="144">
        <f>(E19/B19)*100</f>
        <v>71.074285415844159</v>
      </c>
      <c r="I19" s="136">
        <f t="shared" si="0"/>
        <v>1.5714584155844591E-2</v>
      </c>
      <c r="J19" s="178">
        <f t="shared" si="1"/>
        <v>2.2105196449352356E-4</v>
      </c>
    </row>
    <row r="20" spans="1:12" x14ac:dyDescent="0.15">
      <c r="A20" s="39" t="s">
        <v>44</v>
      </c>
      <c r="B20" s="5">
        <v>778.7</v>
      </c>
      <c r="C20" s="31">
        <f t="shared" ref="C20" si="2">B20*0.7109</f>
        <v>553.57783000000006</v>
      </c>
      <c r="D20" s="5">
        <v>11435</v>
      </c>
      <c r="E20" s="27">
        <f>(D20-(D$9))/D$8</f>
        <v>553.48116238491912</v>
      </c>
      <c r="F20" s="27">
        <f>(E20/C20)*100</f>
        <v>99.982537665014334</v>
      </c>
      <c r="G20" s="30">
        <f>E20-C20</f>
        <v>-9.6667615080946234E-2</v>
      </c>
      <c r="H20" s="144">
        <f>(E20/B20)*100</f>
        <v>71.077586026058697</v>
      </c>
      <c r="I20" s="136">
        <f t="shared" si="0"/>
        <v>1.2413973941306722E-2</v>
      </c>
      <c r="J20" s="178">
        <f t="shared" si="1"/>
        <v>1.7462334985661446E-4</v>
      </c>
    </row>
    <row r="21" spans="1:12" x14ac:dyDescent="0.15">
      <c r="A21" s="39"/>
      <c r="B21" s="5"/>
      <c r="C21" s="31"/>
      <c r="D21" s="31"/>
      <c r="E21" s="31"/>
      <c r="F21" s="5"/>
      <c r="G21" s="1" t="s">
        <v>6</v>
      </c>
      <c r="H21" s="137">
        <f>AVERAGE(H16:H20)</f>
        <v>71.125055839562108</v>
      </c>
      <c r="I21" s="137">
        <f>ABS(H21-71.09)</f>
        <v>3.5055839562105007E-2</v>
      </c>
      <c r="J21" s="176">
        <f>I21/71.09</f>
        <v>4.9311913858636946E-4</v>
      </c>
      <c r="L21" s="139"/>
    </row>
    <row r="22" spans="1:12" x14ac:dyDescent="0.15">
      <c r="A22" s="5"/>
      <c r="B22" s="5"/>
      <c r="C22" s="5"/>
      <c r="D22" s="5"/>
      <c r="E22" s="5"/>
      <c r="F22" s="5"/>
      <c r="G22" s="175" t="s">
        <v>7</v>
      </c>
      <c r="H22" s="108">
        <f>STDEV(H16:H20)</f>
        <v>0.1772653789301791</v>
      </c>
      <c r="I22" s="26"/>
      <c r="J22" s="81"/>
      <c r="L22" s="139"/>
    </row>
    <row r="23" spans="1:12" x14ac:dyDescent="0.15">
      <c r="A23" s="5"/>
      <c r="B23" s="5"/>
      <c r="C23" s="5"/>
      <c r="D23" s="5"/>
      <c r="E23" s="5"/>
      <c r="F23" s="5"/>
      <c r="G23" s="175" t="s">
        <v>8</v>
      </c>
      <c r="H23" s="176">
        <f>H22/H21</f>
        <v>2.4923056556895979E-3</v>
      </c>
      <c r="I23" s="26"/>
      <c r="J23" s="82"/>
      <c r="L23" s="82"/>
    </row>
    <row r="24" spans="1:12" x14ac:dyDescent="0.15">
      <c r="A24" s="9"/>
      <c r="B24" s="9"/>
      <c r="C24" s="9"/>
      <c r="D24" s="9"/>
      <c r="E24" s="9"/>
      <c r="F24" s="9"/>
      <c r="G24" s="1" t="s">
        <v>80</v>
      </c>
      <c r="H24" s="177">
        <f>COUNT(H16:H20)</f>
        <v>5</v>
      </c>
      <c r="I24" s="9"/>
    </row>
    <row r="54" spans="8:9" x14ac:dyDescent="0.15">
      <c r="H54">
        <v>0</v>
      </c>
      <c r="I54">
        <v>71.09</v>
      </c>
    </row>
    <row r="55" spans="8:9" x14ac:dyDescent="0.15">
      <c r="H55">
        <v>1200</v>
      </c>
      <c r="I55">
        <v>71.09</v>
      </c>
    </row>
  </sheetData>
  <phoneticPr fontId="0" type="noConversion"/>
  <pageMargins left="0.75" right="0.75" top="1" bottom="1" header="0.5" footer="0.5"/>
  <pageSetup scale="62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2"/>
  <sheetViews>
    <sheetView topLeftCell="A24" zoomScale="150" zoomScaleNormal="150" zoomScalePageLayoutView="150" workbookViewId="0">
      <selection activeCell="B32" sqref="B32"/>
    </sheetView>
  </sheetViews>
  <sheetFormatPr baseColWidth="10" defaultColWidth="8.83203125" defaultRowHeight="13" x14ac:dyDescent="0.15"/>
  <cols>
    <col min="1" max="1" width="21.6640625" customWidth="1"/>
    <col min="2" max="2" width="15.33203125" customWidth="1"/>
    <col min="3" max="3" width="16.33203125" customWidth="1"/>
    <col min="4" max="4" width="13.6640625" customWidth="1"/>
    <col min="5" max="5" width="15.5" customWidth="1"/>
    <col min="6" max="6" width="17.5" customWidth="1"/>
    <col min="7" max="7" width="17" customWidth="1"/>
    <col min="8" max="8" width="17.5" customWidth="1"/>
    <col min="9" max="9" width="15.83203125" customWidth="1"/>
  </cols>
  <sheetData>
    <row r="1" spans="1:9" x14ac:dyDescent="0.15">
      <c r="B1" s="16" t="s">
        <v>14</v>
      </c>
      <c r="C1" s="16" t="s">
        <v>10</v>
      </c>
      <c r="F1" s="3"/>
      <c r="G1" s="3"/>
    </row>
    <row r="2" spans="1:9" ht="16" x14ac:dyDescent="0.2">
      <c r="B2" s="34">
        <f>'Act. STANDARD'!A2</f>
        <v>42894</v>
      </c>
      <c r="C2" s="19" t="str">
        <f>[1]STANDARD!B2</f>
        <v>ERIC G</v>
      </c>
      <c r="F2" s="15"/>
      <c r="G2" s="16"/>
    </row>
    <row r="3" spans="1:9" ht="17" thickBot="1" x14ac:dyDescent="0.25">
      <c r="B3" s="20"/>
      <c r="C3" s="19"/>
      <c r="F3" s="15"/>
      <c r="G3" s="16"/>
    </row>
    <row r="4" spans="1:9" ht="17" thickTop="1" x14ac:dyDescent="0.2">
      <c r="B4" s="20"/>
      <c r="C4" s="83"/>
      <c r="D4" s="84"/>
      <c r="E4" s="84" t="s">
        <v>15</v>
      </c>
      <c r="F4" s="85"/>
      <c r="G4" s="101"/>
      <c r="H4" s="102"/>
    </row>
    <row r="5" spans="1:9" ht="19" thickBot="1" x14ac:dyDescent="0.25">
      <c r="C5" s="86"/>
      <c r="D5" s="87"/>
      <c r="E5" s="88"/>
      <c r="F5" s="89"/>
      <c r="G5" s="37"/>
      <c r="H5" s="103"/>
      <c r="I5" s="24"/>
    </row>
    <row r="6" spans="1:9" ht="14" thickTop="1" x14ac:dyDescent="0.15">
      <c r="A6" s="18"/>
      <c r="B6" s="17"/>
      <c r="C6" s="109" t="s">
        <v>12</v>
      </c>
      <c r="D6" s="110"/>
      <c r="E6" s="111"/>
      <c r="F6" s="112"/>
      <c r="G6" s="113"/>
      <c r="H6" s="114"/>
      <c r="I6" s="90"/>
    </row>
    <row r="7" spans="1:9" x14ac:dyDescent="0.15">
      <c r="A7" s="17"/>
      <c r="C7" s="115"/>
      <c r="D7" s="116"/>
      <c r="E7" s="117"/>
      <c r="F7" s="116"/>
      <c r="G7" s="118"/>
      <c r="H7" s="119"/>
      <c r="I7" s="24"/>
    </row>
    <row r="8" spans="1:9" x14ac:dyDescent="0.15">
      <c r="C8" s="120" t="s">
        <v>11</v>
      </c>
      <c r="D8" s="126">
        <f>'Act. STANDARD'!C12</f>
        <v>20.586066472260587</v>
      </c>
      <c r="E8" s="121"/>
      <c r="F8" s="126"/>
      <c r="G8" s="122"/>
      <c r="H8" s="129"/>
      <c r="I8" s="24"/>
    </row>
    <row r="9" spans="1:9" ht="14" thickBot="1" x14ac:dyDescent="0.2">
      <c r="C9" s="123" t="s">
        <v>27</v>
      </c>
      <c r="D9" s="127">
        <f>'Act. STANDARD'!C21</f>
        <v>41</v>
      </c>
      <c r="E9" s="124"/>
      <c r="F9" s="128"/>
      <c r="G9" s="125"/>
      <c r="H9" s="130"/>
      <c r="I9" s="24"/>
    </row>
    <row r="10" spans="1:9" ht="15" thickTop="1" thickBot="1" x14ac:dyDescent="0.2">
      <c r="C10" s="91"/>
      <c r="D10" s="104"/>
      <c r="E10" s="92"/>
      <c r="F10" s="93"/>
      <c r="G10" s="105"/>
      <c r="H10" s="106"/>
      <c r="I10" s="24"/>
    </row>
    <row r="11" spans="1:9" ht="14" thickTop="1" x14ac:dyDescent="0.15">
      <c r="C11" s="24"/>
      <c r="D11" s="24"/>
      <c r="E11" s="24"/>
      <c r="F11" s="24"/>
      <c r="G11" s="24"/>
      <c r="H11" s="24"/>
      <c r="I11" s="24"/>
    </row>
    <row r="12" spans="1:9" ht="14" x14ac:dyDescent="0.15">
      <c r="B12" s="95"/>
      <c r="C12" s="96"/>
      <c r="E12" s="97"/>
    </row>
    <row r="13" spans="1:9" x14ac:dyDescent="0.15">
      <c r="C13" s="16" t="s">
        <v>30</v>
      </c>
      <c r="D13" s="16" t="s">
        <v>31</v>
      </c>
    </row>
    <row r="14" spans="1:9" x14ac:dyDescent="0.15">
      <c r="A14" s="1" t="s">
        <v>32</v>
      </c>
      <c r="B14" s="16" t="s">
        <v>5</v>
      </c>
      <c r="C14" s="16" t="s">
        <v>4</v>
      </c>
      <c r="D14" s="16" t="s">
        <v>4</v>
      </c>
      <c r="E14" s="16"/>
    </row>
    <row r="15" spans="1:9" x14ac:dyDescent="0.15">
      <c r="A15" s="98" t="s">
        <v>45</v>
      </c>
      <c r="B15" s="5"/>
      <c r="D15" s="5"/>
      <c r="E15" s="5"/>
    </row>
    <row r="16" spans="1:9" x14ac:dyDescent="0.15">
      <c r="A16" s="133" t="s">
        <v>86</v>
      </c>
      <c r="B16" s="94">
        <v>48</v>
      </c>
      <c r="C16" s="99">
        <f>(B16)/D$8</f>
        <v>2.3316741964609546</v>
      </c>
      <c r="D16" s="5"/>
      <c r="E16" s="94"/>
    </row>
    <row r="17" spans="1:5" x14ac:dyDescent="0.15">
      <c r="A17" s="179" t="s">
        <v>87</v>
      </c>
      <c r="B17" s="94">
        <v>48</v>
      </c>
      <c r="C17" s="99">
        <f>(B17)/D$8</f>
        <v>2.3316741964609546</v>
      </c>
      <c r="D17" s="5"/>
      <c r="E17" s="94"/>
    </row>
    <row r="18" spans="1:5" x14ac:dyDescent="0.15">
      <c r="A18" s="146" t="s">
        <v>38</v>
      </c>
      <c r="B18" s="147">
        <f>AVERAGE(B16:B17)</f>
        <v>48</v>
      </c>
      <c r="C18" s="99"/>
      <c r="D18" s="5"/>
      <c r="E18" s="147"/>
    </row>
    <row r="19" spans="1:5" x14ac:dyDescent="0.15">
      <c r="A19" s="133" t="s">
        <v>46</v>
      </c>
      <c r="B19" s="94">
        <v>251</v>
      </c>
      <c r="C19" s="81">
        <f>(B19-($B$18))/D$8</f>
        <v>9.8610387891994531</v>
      </c>
      <c r="D19" s="5"/>
      <c r="E19" s="94"/>
    </row>
    <row r="20" spans="1:5" x14ac:dyDescent="0.15">
      <c r="A20" s="133" t="s">
        <v>46</v>
      </c>
      <c r="B20" s="94">
        <v>239</v>
      </c>
      <c r="C20" s="81">
        <f>(B20-($B$18))/D$8</f>
        <v>9.2781202400842151</v>
      </c>
      <c r="D20" s="5"/>
      <c r="E20" s="94"/>
    </row>
    <row r="21" spans="1:5" x14ac:dyDescent="0.15">
      <c r="A21" s="133" t="s">
        <v>46</v>
      </c>
      <c r="B21" s="94">
        <v>257</v>
      </c>
      <c r="C21" s="81">
        <f>(B21-($B$18))/D$8</f>
        <v>10.152498063757072</v>
      </c>
      <c r="D21" s="5"/>
      <c r="E21" s="94"/>
    </row>
    <row r="22" spans="1:5" x14ac:dyDescent="0.15">
      <c r="A22" s="133" t="s">
        <v>47</v>
      </c>
      <c r="B22" s="94">
        <v>2128</v>
      </c>
      <c r="C22" s="81">
        <f t="shared" ref="C22:C24" si="0">(B22-($B$18))/D$8</f>
        <v>101.03921517997469</v>
      </c>
      <c r="D22" s="5"/>
      <c r="E22" s="94"/>
    </row>
    <row r="23" spans="1:5" x14ac:dyDescent="0.15">
      <c r="A23" s="133" t="s">
        <v>47</v>
      </c>
      <c r="B23" s="94">
        <v>2907</v>
      </c>
      <c r="C23" s="81">
        <f t="shared" si="0"/>
        <v>138.8803443267056</v>
      </c>
      <c r="D23" s="5"/>
      <c r="E23" s="94"/>
    </row>
    <row r="24" spans="1:5" x14ac:dyDescent="0.15">
      <c r="A24" s="133" t="s">
        <v>47</v>
      </c>
      <c r="B24" s="94">
        <v>2686</v>
      </c>
      <c r="C24" s="81">
        <f t="shared" si="0"/>
        <v>128.14492771383328</v>
      </c>
      <c r="D24" s="5"/>
      <c r="E24" s="94"/>
    </row>
    <row r="25" spans="1:5" x14ac:dyDescent="0.15">
      <c r="A25" s="133" t="s">
        <v>48</v>
      </c>
      <c r="B25" s="94">
        <v>1357</v>
      </c>
      <c r="C25" s="81">
        <f>(B25-($B$18))/D$8</f>
        <v>63.586698399320611</v>
      </c>
      <c r="D25" s="5"/>
      <c r="E25" s="94"/>
    </row>
    <row r="26" spans="1:5" x14ac:dyDescent="0.15">
      <c r="A26" s="133" t="s">
        <v>48</v>
      </c>
      <c r="B26" s="94">
        <v>1361</v>
      </c>
      <c r="C26" s="81">
        <f>(B26-($B$18))/D$8</f>
        <v>63.781004582359024</v>
      </c>
      <c r="D26" s="5"/>
      <c r="E26" s="94"/>
    </row>
    <row r="27" spans="1:5" x14ac:dyDescent="0.15">
      <c r="A27" s="133" t="s">
        <v>48</v>
      </c>
      <c r="B27" s="94">
        <v>1036</v>
      </c>
      <c r="C27" s="81">
        <f>(B27-($B$18))/D$8</f>
        <v>47.993627210487979</v>
      </c>
      <c r="D27" s="5"/>
      <c r="E27" s="94"/>
    </row>
    <row r="28" spans="1:5" x14ac:dyDescent="0.15">
      <c r="A28" s="133" t="s">
        <v>49</v>
      </c>
      <c r="B28" s="94">
        <v>4463</v>
      </c>
      <c r="C28" s="81">
        <f t="shared" ref="C28:C29" si="1">(B28-($B$18))/D$8</f>
        <v>214.46544952864821</v>
      </c>
      <c r="D28" s="5"/>
      <c r="E28" s="94"/>
    </row>
    <row r="29" spans="1:5" x14ac:dyDescent="0.15">
      <c r="A29" s="133" t="s">
        <v>49</v>
      </c>
      <c r="B29" s="94">
        <v>3157</v>
      </c>
      <c r="C29" s="81">
        <f t="shared" si="1"/>
        <v>151.02448076660642</v>
      </c>
      <c r="D29" s="5"/>
      <c r="E29" s="94"/>
    </row>
    <row r="30" spans="1:5" x14ac:dyDescent="0.15">
      <c r="A30" s="133" t="s">
        <v>82</v>
      </c>
      <c r="B30" s="94">
        <v>40</v>
      </c>
      <c r="C30" s="81"/>
      <c r="D30" s="99">
        <f>(B30)/D$8</f>
        <v>1.9430618303841287</v>
      </c>
      <c r="E30" s="94"/>
    </row>
    <row r="31" spans="1:5" x14ac:dyDescent="0.15">
      <c r="A31" s="133" t="s">
        <v>88</v>
      </c>
      <c r="B31" s="94">
        <v>141</v>
      </c>
      <c r="C31" s="81"/>
      <c r="D31" s="99">
        <f>(B31-(D$9))/D$8</f>
        <v>4.8576545759603222</v>
      </c>
      <c r="E31" s="94"/>
    </row>
    <row r="32" spans="1:5" x14ac:dyDescent="0.15">
      <c r="A32" s="133" t="s">
        <v>50</v>
      </c>
      <c r="B32" s="94">
        <v>11348</v>
      </c>
      <c r="C32" s="81"/>
      <c r="D32" s="99">
        <f>(B32-(D$9))/D$8</f>
        <v>549.25500290383354</v>
      </c>
      <c r="E32" s="94"/>
    </row>
    <row r="33" spans="1:5" x14ac:dyDescent="0.15">
      <c r="A33" s="133" t="s">
        <v>51</v>
      </c>
      <c r="B33" s="94">
        <v>572</v>
      </c>
      <c r="C33" s="81">
        <f>(B33-($B$18))/D$8</f>
        <v>25.454109978032086</v>
      </c>
      <c r="D33" s="5"/>
      <c r="E33" s="94"/>
    </row>
    <row r="34" spans="1:5" x14ac:dyDescent="0.15">
      <c r="A34" s="133" t="s">
        <v>51</v>
      </c>
      <c r="B34" s="94">
        <v>633</v>
      </c>
      <c r="C34" s="81">
        <f>(B34-($B$18))/D$8</f>
        <v>28.417279269367882</v>
      </c>
      <c r="D34" s="5"/>
      <c r="E34" s="94"/>
    </row>
    <row r="35" spans="1:5" x14ac:dyDescent="0.15">
      <c r="A35" s="133" t="s">
        <v>51</v>
      </c>
      <c r="B35" s="94">
        <v>619</v>
      </c>
      <c r="C35" s="81">
        <f>(B35-($B$18))/D$8</f>
        <v>27.737207628733437</v>
      </c>
      <c r="D35" s="5"/>
      <c r="E35" s="94"/>
    </row>
    <row r="36" spans="1:5" x14ac:dyDescent="0.15">
      <c r="A36" s="133" t="s">
        <v>52</v>
      </c>
      <c r="B36" s="94">
        <v>4741</v>
      </c>
      <c r="C36" s="81">
        <f t="shared" ref="C36:C38" si="2">(B36-($B$18))/D$8</f>
        <v>227.9697292498179</v>
      </c>
      <c r="D36" s="5"/>
      <c r="E36" s="94"/>
    </row>
    <row r="37" spans="1:5" x14ac:dyDescent="0.15">
      <c r="A37" s="133" t="s">
        <v>52</v>
      </c>
      <c r="B37" s="94">
        <v>4691</v>
      </c>
      <c r="C37" s="81">
        <f t="shared" si="2"/>
        <v>225.54090196183773</v>
      </c>
      <c r="D37" s="5"/>
      <c r="E37" s="94"/>
    </row>
    <row r="38" spans="1:5" x14ac:dyDescent="0.15">
      <c r="A38" s="133" t="s">
        <v>52</v>
      </c>
      <c r="B38" s="94">
        <v>4402</v>
      </c>
      <c r="C38" s="81">
        <f t="shared" si="2"/>
        <v>211.50228023731242</v>
      </c>
      <c r="D38" s="5"/>
      <c r="E38" s="94"/>
    </row>
    <row r="39" spans="1:5" x14ac:dyDescent="0.15">
      <c r="A39" s="133" t="s">
        <v>53</v>
      </c>
      <c r="B39" s="94">
        <v>6359</v>
      </c>
      <c r="C39" s="81">
        <f>(B39-($B$18))/D$8</f>
        <v>306.5665802888559</v>
      </c>
      <c r="D39" s="5"/>
      <c r="E39" s="94"/>
    </row>
    <row r="40" spans="1:5" x14ac:dyDescent="0.15">
      <c r="A40" s="133" t="s">
        <v>53</v>
      </c>
      <c r="B40" s="94">
        <v>7123</v>
      </c>
      <c r="C40" s="81">
        <f>(B40-($B$18))/D$8</f>
        <v>343.67906124919278</v>
      </c>
      <c r="D40" s="5"/>
      <c r="E40" s="94"/>
    </row>
    <row r="41" spans="1:5" x14ac:dyDescent="0.15">
      <c r="A41" s="133" t="s">
        <v>53</v>
      </c>
      <c r="B41" s="94">
        <v>6290</v>
      </c>
      <c r="C41" s="81">
        <f>(B41-($B$18))/D$8</f>
        <v>303.21479863144327</v>
      </c>
      <c r="D41" s="5"/>
      <c r="E41" s="94"/>
    </row>
    <row r="42" spans="1:5" x14ac:dyDescent="0.15">
      <c r="A42" s="133" t="s">
        <v>54</v>
      </c>
      <c r="B42" s="94">
        <v>9555</v>
      </c>
      <c r="C42" s="81">
        <f t="shared" ref="C42:C48" si="3">(B42-($B$18))/D$8</f>
        <v>461.81722053654778</v>
      </c>
      <c r="D42" s="5"/>
      <c r="E42" s="94"/>
    </row>
    <row r="43" spans="1:5" x14ac:dyDescent="0.15">
      <c r="A43" s="133" t="s">
        <v>54</v>
      </c>
      <c r="B43" s="94">
        <v>5905</v>
      </c>
      <c r="C43" s="81">
        <f t="shared" si="3"/>
        <v>284.51282851399606</v>
      </c>
      <c r="D43" s="5"/>
      <c r="E43" s="94"/>
    </row>
    <row r="44" spans="1:5" x14ac:dyDescent="0.15">
      <c r="A44" s="174" t="s">
        <v>82</v>
      </c>
      <c r="B44" s="94">
        <v>42</v>
      </c>
      <c r="C44" s="81"/>
      <c r="D44" s="99">
        <f>(B44)/D$8</f>
        <v>2.0402149219033352</v>
      </c>
      <c r="E44" s="94"/>
    </row>
    <row r="45" spans="1:5" x14ac:dyDescent="0.15">
      <c r="A45" s="133" t="s">
        <v>83</v>
      </c>
      <c r="B45" s="94">
        <v>6635</v>
      </c>
      <c r="C45" s="81">
        <f t="shared" si="3"/>
        <v>319.97370691850642</v>
      </c>
      <c r="D45" s="99">
        <f t="shared" ref="D45" si="4">(B45-(D$9))/D$8</f>
        <v>320.31374273882363</v>
      </c>
      <c r="E45" s="94"/>
    </row>
    <row r="46" spans="1:5" x14ac:dyDescent="0.15">
      <c r="A46" s="133" t="s">
        <v>72</v>
      </c>
      <c r="B46" s="94">
        <v>118</v>
      </c>
      <c r="C46" s="81">
        <f t="shared" si="3"/>
        <v>3.4003582031722255</v>
      </c>
      <c r="D46" s="99"/>
      <c r="E46" s="94"/>
    </row>
    <row r="47" spans="1:5" x14ac:dyDescent="0.15">
      <c r="A47" s="133" t="s">
        <v>72</v>
      </c>
      <c r="B47" s="94">
        <v>367</v>
      </c>
      <c r="C47" s="81">
        <f t="shared" si="3"/>
        <v>15.495918097313426</v>
      </c>
      <c r="D47" s="99"/>
      <c r="E47" s="94"/>
    </row>
    <row r="48" spans="1:5" x14ac:dyDescent="0.15">
      <c r="A48" s="133" t="s">
        <v>72</v>
      </c>
      <c r="B48" s="94">
        <v>289</v>
      </c>
      <c r="C48" s="81">
        <f t="shared" si="3"/>
        <v>11.706947528064376</v>
      </c>
      <c r="D48" s="99"/>
      <c r="E48" s="94"/>
    </row>
    <row r="49" spans="1:5" x14ac:dyDescent="0.15">
      <c r="A49" s="133" t="s">
        <v>82</v>
      </c>
      <c r="B49" s="94">
        <v>38</v>
      </c>
      <c r="C49" s="81"/>
      <c r="D49" s="99">
        <f>(B49)/D$8</f>
        <v>1.8459087388649222</v>
      </c>
      <c r="E49" s="94"/>
    </row>
    <row r="50" spans="1:5" x14ac:dyDescent="0.15">
      <c r="A50" s="133" t="s">
        <v>55</v>
      </c>
      <c r="B50" s="94">
        <v>15502</v>
      </c>
      <c r="C50" s="81"/>
      <c r="D50" s="99">
        <f>(B50-(D$9))/D$8</f>
        <v>751.04197398922531</v>
      </c>
      <c r="E50" s="94"/>
    </row>
    <row r="51" spans="1:5" x14ac:dyDescent="0.15">
      <c r="A51" s="174" t="s">
        <v>82</v>
      </c>
      <c r="B51" s="94">
        <v>39</v>
      </c>
      <c r="C51" s="81"/>
      <c r="D51" s="99">
        <f>(B51)/D$8</f>
        <v>1.8944852846245255</v>
      </c>
      <c r="E51" s="94"/>
    </row>
    <row r="52" spans="1:5" x14ac:dyDescent="0.15">
      <c r="A52" s="133" t="s">
        <v>56</v>
      </c>
      <c r="B52" s="94">
        <v>11435</v>
      </c>
      <c r="C52" s="81"/>
      <c r="D52" s="99">
        <f>(B52-(D$9))/D$8</f>
        <v>553.48116238491912</v>
      </c>
      <c r="E52" s="94"/>
    </row>
  </sheetData>
  <pageMargins left="0.75" right="0.75" top="1" bottom="1" header="0.5" footer="0.5"/>
  <pageSetup scale="8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0"/>
  <sheetViews>
    <sheetView zoomScale="150" zoomScaleNormal="150" zoomScalePageLayoutView="15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16" sqref="H16"/>
    </sheetView>
  </sheetViews>
  <sheetFormatPr baseColWidth="10" defaultColWidth="8.83203125" defaultRowHeight="13" x14ac:dyDescent="0.15"/>
  <cols>
    <col min="1" max="1" width="23.83203125" style="134" customWidth="1"/>
    <col min="2" max="2" width="10.5" style="134" customWidth="1"/>
    <col min="3" max="3" width="8.6640625" style="136" customWidth="1"/>
    <col min="4" max="4" width="10.6640625" customWidth="1"/>
    <col min="5" max="5" width="16.5" customWidth="1"/>
    <col min="6" max="6" width="9.6640625" customWidth="1"/>
    <col min="7" max="7" width="9.83203125" customWidth="1"/>
    <col min="8" max="8" width="6.5" customWidth="1"/>
    <col min="9" max="9" width="6.1640625" customWidth="1"/>
    <col min="10" max="10" width="10" customWidth="1"/>
    <col min="11" max="11" width="10.83203125" customWidth="1"/>
    <col min="12" max="12" width="10.33203125" customWidth="1"/>
    <col min="13" max="13" width="10.1640625" customWidth="1"/>
  </cols>
  <sheetData>
    <row r="1" spans="1:19" ht="25" x14ac:dyDescent="0.25">
      <c r="C1" s="135" t="s">
        <v>62</v>
      </c>
    </row>
    <row r="4" spans="1:19" x14ac:dyDescent="0.15">
      <c r="A4" s="95" t="s">
        <v>30</v>
      </c>
      <c r="B4" s="95"/>
      <c r="C4" s="137" t="s">
        <v>34</v>
      </c>
      <c r="D4" s="108"/>
      <c r="E4" s="108"/>
      <c r="F4" s="108"/>
      <c r="G4" s="108"/>
      <c r="H4" s="108"/>
      <c r="I4" s="108"/>
      <c r="J4" s="108"/>
      <c r="K4" s="108" t="s">
        <v>57</v>
      </c>
      <c r="L4" s="108" t="s">
        <v>57</v>
      </c>
      <c r="M4" s="108" t="s">
        <v>57</v>
      </c>
      <c r="N4" s="108" t="s">
        <v>57</v>
      </c>
      <c r="Q4" s="108" t="s">
        <v>57</v>
      </c>
    </row>
    <row r="5" spans="1:19" x14ac:dyDescent="0.15">
      <c r="A5" s="95" t="s">
        <v>37</v>
      </c>
      <c r="B5" s="95"/>
      <c r="C5" s="137" t="s">
        <v>33</v>
      </c>
      <c r="D5" s="108"/>
      <c r="E5" s="108"/>
      <c r="F5" s="108"/>
      <c r="G5" s="108"/>
      <c r="H5" s="108"/>
      <c r="I5" s="108"/>
      <c r="J5" s="108"/>
      <c r="K5" s="108" t="s">
        <v>76</v>
      </c>
      <c r="L5" s="108" t="s">
        <v>58</v>
      </c>
      <c r="M5" s="108" t="s">
        <v>58</v>
      </c>
      <c r="N5" s="108" t="s">
        <v>58</v>
      </c>
      <c r="Q5" s="108" t="s">
        <v>58</v>
      </c>
    </row>
    <row r="6" spans="1:19" ht="28" x14ac:dyDescent="0.15">
      <c r="C6" s="137" t="s">
        <v>35</v>
      </c>
      <c r="D6" s="153" t="s">
        <v>42</v>
      </c>
      <c r="E6" s="153" t="s">
        <v>43</v>
      </c>
      <c r="F6" s="108" t="s">
        <v>38</v>
      </c>
      <c r="G6" s="16"/>
      <c r="H6" s="16"/>
      <c r="I6" s="108" t="s">
        <v>36</v>
      </c>
      <c r="J6" s="108" t="s">
        <v>38</v>
      </c>
      <c r="K6" s="108" t="s">
        <v>59</v>
      </c>
      <c r="L6" s="108" t="s">
        <v>59</v>
      </c>
      <c r="M6" s="108" t="s">
        <v>63</v>
      </c>
      <c r="N6" s="108" t="s">
        <v>63</v>
      </c>
      <c r="O6" s="16"/>
      <c r="P6" s="16"/>
      <c r="Q6" s="108" t="s">
        <v>77</v>
      </c>
      <c r="R6" s="16"/>
      <c r="S6" s="16"/>
    </row>
    <row r="7" spans="1:19" ht="42" x14ac:dyDescent="0.15">
      <c r="B7" s="152" t="s">
        <v>61</v>
      </c>
      <c r="D7" s="100"/>
      <c r="E7" s="100"/>
      <c r="F7" s="153" t="s">
        <v>64</v>
      </c>
      <c r="G7" s="16" t="s">
        <v>39</v>
      </c>
      <c r="H7" s="16" t="s">
        <v>78</v>
      </c>
      <c r="I7" s="136"/>
      <c r="J7" s="108" t="s">
        <v>65</v>
      </c>
      <c r="K7" s="108" t="s">
        <v>66</v>
      </c>
      <c r="L7" s="108" t="s">
        <v>66</v>
      </c>
      <c r="M7" s="152"/>
      <c r="N7" s="108" t="s">
        <v>38</v>
      </c>
      <c r="O7" s="16" t="s">
        <v>39</v>
      </c>
      <c r="P7" s="16" t="s">
        <v>78</v>
      </c>
      <c r="Q7" s="108" t="s">
        <v>38</v>
      </c>
      <c r="R7" s="16" t="s">
        <v>39</v>
      </c>
      <c r="S7" s="16" t="s">
        <v>78</v>
      </c>
    </row>
    <row r="8" spans="1:19" x14ac:dyDescent="0.15">
      <c r="A8" s="133"/>
      <c r="B8" s="133"/>
      <c r="C8" s="27"/>
      <c r="D8" s="107"/>
      <c r="E8" s="141"/>
      <c r="F8" s="141"/>
      <c r="G8" s="141"/>
      <c r="H8" s="141"/>
      <c r="I8" s="142"/>
      <c r="O8" s="141"/>
    </row>
    <row r="9" spans="1:19" ht="14" x14ac:dyDescent="0.15">
      <c r="A9" s="133" t="s">
        <v>46</v>
      </c>
      <c r="B9" s="170">
        <v>5566.2</v>
      </c>
      <c r="C9" s="150">
        <v>9.8610387891994531</v>
      </c>
      <c r="D9" s="155">
        <f>B9</f>
        <v>5566.2</v>
      </c>
      <c r="E9" s="141">
        <f t="shared" ref="E9:E19" si="0">C9/D9</f>
        <v>1.7715926106139652E-3</v>
      </c>
      <c r="F9" s="140"/>
      <c r="G9" s="140"/>
      <c r="H9" s="140"/>
      <c r="I9" s="142">
        <f t="shared" ref="I9:I11" si="1">(C9/D9)*100</f>
        <v>0.17715926106139651</v>
      </c>
      <c r="J9" s="138"/>
      <c r="K9" s="151"/>
      <c r="L9" s="156">
        <f>(E9/$E$21)*100</f>
        <v>1.7604499487869458</v>
      </c>
      <c r="M9" s="157">
        <f>(E9/$J$21)*100</f>
        <v>3.9781619013031668</v>
      </c>
    </row>
    <row r="10" spans="1:19" ht="14" x14ac:dyDescent="0.15">
      <c r="A10" s="133" t="s">
        <v>46</v>
      </c>
      <c r="B10" s="170">
        <v>4738.3</v>
      </c>
      <c r="C10" s="150">
        <v>9.2781202400842151</v>
      </c>
      <c r="D10" s="155">
        <f>B10</f>
        <v>4738.3</v>
      </c>
      <c r="E10" s="141">
        <f t="shared" si="0"/>
        <v>1.9581116096668034E-3</v>
      </c>
      <c r="F10" s="140"/>
      <c r="G10" s="140"/>
      <c r="H10" s="140"/>
      <c r="I10" s="142">
        <f t="shared" si="1"/>
        <v>0.19581116096668033</v>
      </c>
      <c r="J10" s="138"/>
      <c r="K10" s="151"/>
      <c r="L10" s="156">
        <f>(E10/$E$21)*100</f>
        <v>1.9457958123692993</v>
      </c>
      <c r="M10" s="157">
        <f>(E10/$J$21)*100</f>
        <v>4.3969956509224168</v>
      </c>
    </row>
    <row r="11" spans="1:19" ht="14" x14ac:dyDescent="0.15">
      <c r="A11" s="133" t="s">
        <v>46</v>
      </c>
      <c r="B11" s="170">
        <v>6173.9</v>
      </c>
      <c r="C11" s="150">
        <v>10.152498063757072</v>
      </c>
      <c r="D11" s="155">
        <f>B11</f>
        <v>6173.9</v>
      </c>
      <c r="E11" s="141">
        <f t="shared" si="0"/>
        <v>1.6444221745990496E-3</v>
      </c>
      <c r="F11" s="158">
        <f>AVERAGE(E9:E11)</f>
        <v>1.7913754649599393E-3</v>
      </c>
      <c r="G11" s="140">
        <f>STDEV(E9:E11)</f>
        <v>1.5777764864782702E-4</v>
      </c>
      <c r="H11" s="148">
        <f>G11/F11</f>
        <v>8.8076258570034302E-2</v>
      </c>
      <c r="I11" s="142">
        <f t="shared" si="1"/>
        <v>0.16444221745990495</v>
      </c>
      <c r="J11" s="159">
        <f>AVERAGE(I9:I11)</f>
        <v>0.17913754649599392</v>
      </c>
      <c r="K11" s="151"/>
      <c r="L11" s="156">
        <f>(E11/$E$21)*100</f>
        <v>1.6340793677468251</v>
      </c>
      <c r="M11" s="157">
        <f>(E11/$J$21)*100</f>
        <v>3.6925970482462773</v>
      </c>
      <c r="N11" s="157">
        <f>AVERAGE(M9:M11)</f>
        <v>4.0225848668239541</v>
      </c>
      <c r="O11" s="157">
        <f>STDEV(M9:M11)</f>
        <v>0.35429422485029338</v>
      </c>
      <c r="P11" s="173">
        <f>O11/N11</f>
        <v>8.8076258570034247E-2</v>
      </c>
      <c r="Q11" s="157">
        <f>AVERAGE(L9:L11)</f>
        <v>1.7801083763010235</v>
      </c>
      <c r="R11" s="157">
        <f>STDEV(L9:L11)</f>
        <v>0.15678528563377273</v>
      </c>
      <c r="S11" s="173">
        <f>R11/Q11</f>
        <v>8.8076258570034219E-2</v>
      </c>
    </row>
    <row r="12" spans="1:19" ht="14" x14ac:dyDescent="0.15">
      <c r="A12" s="133" t="s">
        <v>47</v>
      </c>
      <c r="B12" s="170">
        <v>1669.1</v>
      </c>
      <c r="C12" s="150">
        <v>101.03921517997469</v>
      </c>
      <c r="D12" s="155">
        <f>B12</f>
        <v>1669.1</v>
      </c>
      <c r="E12" s="141">
        <f t="shared" si="0"/>
        <v>6.0535147792208192E-2</v>
      </c>
      <c r="F12" s="158"/>
      <c r="G12" s="140"/>
      <c r="H12" s="148"/>
      <c r="I12" s="142"/>
      <c r="J12" s="159"/>
      <c r="K12" s="151"/>
      <c r="L12" s="108"/>
      <c r="M12" s="156"/>
      <c r="N12" s="157"/>
      <c r="O12" s="141"/>
    </row>
    <row r="13" spans="1:19" x14ac:dyDescent="0.15">
      <c r="A13" s="133" t="s">
        <v>47</v>
      </c>
      <c r="B13" s="170">
        <v>2251.1999999999998</v>
      </c>
      <c r="C13" s="150">
        <v>138.8803443267056</v>
      </c>
      <c r="D13" s="155">
        <f>B13</f>
        <v>2251.1999999999998</v>
      </c>
      <c r="E13" s="141">
        <f t="shared" si="0"/>
        <v>6.1691695241073922E-2</v>
      </c>
      <c r="F13" s="158"/>
      <c r="G13" s="140"/>
      <c r="H13" s="140"/>
      <c r="I13" s="142"/>
      <c r="J13" s="138"/>
      <c r="K13" s="138"/>
      <c r="L13" s="108"/>
      <c r="M13" s="156"/>
      <c r="N13" s="156"/>
      <c r="O13" s="141"/>
    </row>
    <row r="14" spans="1:19" x14ac:dyDescent="0.15">
      <c r="A14" s="133" t="s">
        <v>47</v>
      </c>
      <c r="B14" s="170">
        <v>2108.6</v>
      </c>
      <c r="C14" s="150">
        <v>128.14492771383328</v>
      </c>
      <c r="D14" s="155">
        <f>B14</f>
        <v>2108.6</v>
      </c>
      <c r="E14" s="141">
        <f t="shared" si="0"/>
        <v>6.0772516225852835E-2</v>
      </c>
      <c r="F14" s="158"/>
      <c r="G14" s="140"/>
      <c r="H14" s="140"/>
      <c r="I14" s="142"/>
      <c r="J14" s="138"/>
      <c r="K14" s="138"/>
      <c r="L14" s="108"/>
      <c r="M14" s="156"/>
      <c r="N14" s="156"/>
      <c r="O14" s="141"/>
    </row>
    <row r="15" spans="1:19" x14ac:dyDescent="0.15">
      <c r="A15" s="133" t="s">
        <v>48</v>
      </c>
      <c r="B15" s="171">
        <v>1572.4</v>
      </c>
      <c r="C15" s="150">
        <v>63.586698399320611</v>
      </c>
      <c r="D15" s="155">
        <f>B15</f>
        <v>1572.4</v>
      </c>
      <c r="E15" s="141">
        <f t="shared" si="0"/>
        <v>4.0439263800127578E-2</v>
      </c>
      <c r="F15" s="158"/>
      <c r="G15" s="140"/>
      <c r="H15" s="140"/>
      <c r="I15" s="142"/>
      <c r="J15" s="138"/>
      <c r="K15" s="138"/>
      <c r="L15" s="108"/>
      <c r="M15" s="156"/>
      <c r="N15" s="156"/>
      <c r="O15" s="141"/>
    </row>
    <row r="16" spans="1:19" x14ac:dyDescent="0.15">
      <c r="A16" s="133" t="s">
        <v>48</v>
      </c>
      <c r="B16" s="171">
        <v>1617.4</v>
      </c>
      <c r="C16" s="150">
        <v>63.781004582359024</v>
      </c>
      <c r="D16" s="155">
        <f>B16</f>
        <v>1617.4</v>
      </c>
      <c r="E16" s="141">
        <f t="shared" si="0"/>
        <v>3.9434280068232359E-2</v>
      </c>
      <c r="F16" s="158"/>
      <c r="G16" s="140"/>
      <c r="H16" s="140"/>
      <c r="I16" s="142"/>
      <c r="J16" s="138"/>
      <c r="K16" s="138"/>
      <c r="L16" s="108"/>
      <c r="M16" s="156"/>
      <c r="N16" s="156"/>
      <c r="O16" s="141"/>
    </row>
    <row r="17" spans="1:19" x14ac:dyDescent="0.15">
      <c r="A17" s="133" t="s">
        <v>48</v>
      </c>
      <c r="B17" s="171">
        <v>1234.0999999999999</v>
      </c>
      <c r="C17" s="150">
        <v>47.993627210487979</v>
      </c>
      <c r="D17" s="155">
        <f>B17</f>
        <v>1234.0999999999999</v>
      </c>
      <c r="E17" s="141">
        <f t="shared" si="0"/>
        <v>3.8889577190250373E-2</v>
      </c>
      <c r="F17" s="158">
        <f>AVERAGE(E15:E17)</f>
        <v>3.9587707019536768E-2</v>
      </c>
      <c r="G17" s="140"/>
      <c r="H17" s="140"/>
      <c r="I17" s="142"/>
      <c r="J17" s="138"/>
      <c r="K17" s="138"/>
      <c r="L17" s="108"/>
      <c r="M17" s="156"/>
      <c r="N17" s="156"/>
      <c r="O17" s="141"/>
    </row>
    <row r="18" spans="1:19" x14ac:dyDescent="0.15">
      <c r="A18" s="133" t="s">
        <v>49</v>
      </c>
      <c r="B18" s="171">
        <v>2121.4</v>
      </c>
      <c r="C18" s="150">
        <v>214.46544952864821</v>
      </c>
      <c r="D18" s="155">
        <f>B18</f>
        <v>2121.4</v>
      </c>
      <c r="E18" s="141">
        <f t="shared" si="0"/>
        <v>0.10109618625843697</v>
      </c>
      <c r="F18" s="158"/>
      <c r="G18" s="140"/>
      <c r="H18" s="140"/>
      <c r="I18" s="142"/>
      <c r="J18" s="138"/>
      <c r="K18" s="138"/>
      <c r="L18" s="108"/>
      <c r="M18" s="156"/>
      <c r="N18" s="156"/>
      <c r="O18" s="141"/>
    </row>
    <row r="19" spans="1:19" x14ac:dyDescent="0.15">
      <c r="A19" s="133" t="s">
        <v>49</v>
      </c>
      <c r="B19" s="171">
        <v>1507.6</v>
      </c>
      <c r="C19" s="150">
        <v>151.02448076660642</v>
      </c>
      <c r="D19" s="155">
        <f>B19</f>
        <v>1507.6</v>
      </c>
      <c r="E19" s="141">
        <f t="shared" si="0"/>
        <v>0.10017543165734043</v>
      </c>
      <c r="F19" s="158">
        <f>AVERAGE(E18:E19)</f>
        <v>0.10063580895788871</v>
      </c>
      <c r="G19" s="140"/>
      <c r="H19" s="140"/>
      <c r="I19" s="142"/>
      <c r="J19" s="138"/>
      <c r="K19" s="138"/>
      <c r="L19" s="108"/>
      <c r="M19" s="156"/>
      <c r="N19" s="156"/>
      <c r="O19" s="141"/>
    </row>
    <row r="20" spans="1:19" ht="56" x14ac:dyDescent="0.15">
      <c r="A20" s="133"/>
      <c r="B20" s="154"/>
      <c r="C20" s="150"/>
      <c r="D20" s="160" t="s">
        <v>67</v>
      </c>
      <c r="E20" s="161" t="s">
        <v>43</v>
      </c>
      <c r="F20" s="162"/>
      <c r="G20" s="163" t="s">
        <v>60</v>
      </c>
      <c r="H20" s="161" t="s">
        <v>68</v>
      </c>
      <c r="I20" s="164"/>
      <c r="J20" s="165" t="s">
        <v>69</v>
      </c>
      <c r="K20" s="165" t="s">
        <v>70</v>
      </c>
      <c r="L20" s="156"/>
      <c r="M20" s="165" t="s">
        <v>79</v>
      </c>
      <c r="N20" s="156"/>
      <c r="O20" s="141"/>
    </row>
    <row r="21" spans="1:19" x14ac:dyDescent="0.15">
      <c r="A21" s="133" t="s">
        <v>74</v>
      </c>
      <c r="B21" s="154"/>
      <c r="C21" s="150"/>
      <c r="D21" s="166">
        <v>10.063294397177819</v>
      </c>
      <c r="E21" s="167">
        <f>D21/100</f>
        <v>0.10063294397177819</v>
      </c>
      <c r="F21" s="137"/>
      <c r="G21" s="168">
        <v>5.61</v>
      </c>
      <c r="H21" s="149">
        <f>G21/100</f>
        <v>5.6100000000000004E-2</v>
      </c>
      <c r="I21" s="168"/>
      <c r="J21" s="137">
        <f>E21-H21</f>
        <v>4.4532943971778184E-2</v>
      </c>
      <c r="K21" s="108">
        <f>(H21/E21)*100</f>
        <v>55.747151763475053</v>
      </c>
      <c r="L21" s="108"/>
      <c r="M21" s="137">
        <f>J21-F11</f>
        <v>4.2741568506818248E-2</v>
      </c>
      <c r="N21" s="156"/>
      <c r="O21" s="141"/>
    </row>
    <row r="22" spans="1:19" x14ac:dyDescent="0.15">
      <c r="A22" s="133"/>
      <c r="B22" s="154"/>
      <c r="C22" s="150"/>
      <c r="D22" s="166"/>
      <c r="E22" s="167"/>
      <c r="F22" s="137"/>
      <c r="G22" s="168"/>
      <c r="H22" s="149"/>
      <c r="I22" s="168"/>
      <c r="J22" s="137"/>
      <c r="K22" s="138"/>
      <c r="L22" s="108"/>
      <c r="M22" s="156"/>
      <c r="N22" s="156"/>
      <c r="O22" s="141"/>
    </row>
    <row r="23" spans="1:19" x14ac:dyDescent="0.15">
      <c r="A23" s="133"/>
      <c r="B23" s="154"/>
      <c r="C23" s="150"/>
      <c r="D23" s="155"/>
      <c r="E23" s="141"/>
      <c r="F23" s="158"/>
      <c r="G23" s="140"/>
      <c r="H23" s="140"/>
      <c r="I23" s="142"/>
      <c r="J23" s="138"/>
      <c r="K23" s="138"/>
      <c r="L23" s="138"/>
      <c r="M23" s="156"/>
      <c r="N23" s="156"/>
      <c r="O23" s="141"/>
    </row>
    <row r="24" spans="1:19" ht="14" x14ac:dyDescent="0.15">
      <c r="A24" s="133" t="s">
        <v>51</v>
      </c>
      <c r="B24" s="154">
        <v>4731.6000000000004</v>
      </c>
      <c r="C24" s="150">
        <v>25.454109978032086</v>
      </c>
      <c r="D24" s="155">
        <f>B24</f>
        <v>4731.6000000000004</v>
      </c>
      <c r="E24" s="141">
        <f t="shared" ref="E24:E32" si="2">C24/D24</f>
        <v>5.3795988625479933E-3</v>
      </c>
      <c r="F24" s="140"/>
      <c r="G24" s="140"/>
      <c r="H24" s="140"/>
      <c r="I24" s="142">
        <f t="shared" ref="I24:I26" si="3">(C24/D24)*100</f>
        <v>0.53795988625479929</v>
      </c>
      <c r="J24" s="138"/>
      <c r="K24" s="151"/>
      <c r="L24" s="156">
        <f>(E24/$E$36)*100</f>
        <v>2.7528990261542634</v>
      </c>
      <c r="M24" s="157">
        <f>(E24/$J$36)*100</f>
        <v>3.2779292464931125</v>
      </c>
    </row>
    <row r="25" spans="1:19" ht="14" x14ac:dyDescent="0.15">
      <c r="A25" s="133" t="s">
        <v>51</v>
      </c>
      <c r="B25" s="154">
        <v>5508.5</v>
      </c>
      <c r="C25" s="150">
        <v>28.417279269367882</v>
      </c>
      <c r="D25" s="155">
        <f>B25</f>
        <v>5508.5</v>
      </c>
      <c r="E25" s="141">
        <f t="shared" si="2"/>
        <v>5.158805349799016E-3</v>
      </c>
      <c r="F25" s="140"/>
      <c r="G25" s="140"/>
      <c r="H25" s="140"/>
      <c r="I25" s="142">
        <f t="shared" si="3"/>
        <v>0.51588053497990161</v>
      </c>
      <c r="J25" s="138"/>
      <c r="K25" s="151"/>
      <c r="L25" s="156">
        <f>(E25/$E$36)*100</f>
        <v>2.6399124890986081</v>
      </c>
      <c r="M25" s="157">
        <f>(E25/$J$36)*100</f>
        <v>3.1433940271639469</v>
      </c>
    </row>
    <row r="26" spans="1:19" ht="14" x14ac:dyDescent="0.15">
      <c r="A26" s="133" t="s">
        <v>51</v>
      </c>
      <c r="B26" s="154">
        <v>5700.3</v>
      </c>
      <c r="C26" s="150">
        <v>27.737207628733437</v>
      </c>
      <c r="D26" s="155">
        <f>B26</f>
        <v>5700.3</v>
      </c>
      <c r="E26" s="141">
        <f t="shared" si="2"/>
        <v>4.865920675882574E-3</v>
      </c>
      <c r="F26" s="158">
        <f>AVERAGE(E24:E26)</f>
        <v>5.134774962743195E-3</v>
      </c>
      <c r="G26" s="140">
        <f>STDEV(E24:E26)</f>
        <v>2.5768083842324748E-4</v>
      </c>
      <c r="H26" s="148">
        <f>G26/F26</f>
        <v>5.0183472555841949E-2</v>
      </c>
      <c r="I26" s="142">
        <f t="shared" si="3"/>
        <v>0.4865920675882574</v>
      </c>
      <c r="J26" s="159">
        <f>AVERAGE(I23:I26)</f>
        <v>0.51347749627431949</v>
      </c>
      <c r="K26" s="151"/>
      <c r="L26" s="156">
        <f>(E26/$E$36)*100</f>
        <v>2.4900347836783578</v>
      </c>
      <c r="M26" s="157">
        <f>(E26/$J$36)*100</f>
        <v>2.9649317917798048</v>
      </c>
      <c r="N26" s="157">
        <f>AVERAGE(M24:M26)</f>
        <v>3.1287516884789546</v>
      </c>
      <c r="O26" s="157">
        <f>STDEV(M24:M26)</f>
        <v>0.15701162449282785</v>
      </c>
      <c r="P26" s="173">
        <f>O26/N26</f>
        <v>5.0183472555841969E-2</v>
      </c>
      <c r="Q26" s="157">
        <f>AVERAGE(L24:L26)</f>
        <v>2.6276154329770764</v>
      </c>
      <c r="R26" s="157">
        <f>STDEV(L24:L26)</f>
        <v>0.13186286696811195</v>
      </c>
      <c r="S26" s="173">
        <f>R26/Q26</f>
        <v>5.0183472555841976E-2</v>
      </c>
    </row>
    <row r="27" spans="1:19" ht="14" x14ac:dyDescent="0.15">
      <c r="A27" s="133" t="s">
        <v>52</v>
      </c>
      <c r="B27" s="154">
        <v>5337.4</v>
      </c>
      <c r="C27" s="150">
        <v>227.9697292498179</v>
      </c>
      <c r="D27" s="155">
        <f>B27</f>
        <v>5337.4</v>
      </c>
      <c r="E27" s="141">
        <f t="shared" si="2"/>
        <v>4.2711756519994364E-2</v>
      </c>
      <c r="F27" s="158"/>
      <c r="G27" s="140"/>
      <c r="H27" s="148"/>
      <c r="I27" s="142"/>
      <c r="J27" s="159"/>
      <c r="K27" s="151"/>
      <c r="L27" s="108"/>
      <c r="M27" s="156"/>
      <c r="N27" s="157"/>
      <c r="O27" s="141"/>
    </row>
    <row r="28" spans="1:19" x14ac:dyDescent="0.15">
      <c r="A28" s="133" t="s">
        <v>52</v>
      </c>
      <c r="B28" s="154">
        <v>5253.3</v>
      </c>
      <c r="C28" s="150">
        <v>225.54090196183773</v>
      </c>
      <c r="D28" s="155">
        <f>B28</f>
        <v>5253.3</v>
      </c>
      <c r="E28" s="141">
        <f t="shared" si="2"/>
        <v>4.2933185228682488E-2</v>
      </c>
      <c r="F28" s="158"/>
      <c r="G28" s="140"/>
      <c r="H28" s="140"/>
      <c r="I28" s="142"/>
      <c r="J28" s="138"/>
      <c r="K28" s="138"/>
      <c r="L28" s="108"/>
      <c r="M28" s="156"/>
      <c r="N28" s="156"/>
      <c r="O28" s="141"/>
    </row>
    <row r="29" spans="1:19" x14ac:dyDescent="0.15">
      <c r="A29" s="133" t="s">
        <v>52</v>
      </c>
      <c r="B29" s="154">
        <v>4991.1000000000004</v>
      </c>
      <c r="C29" s="150">
        <v>211.50228023731242</v>
      </c>
      <c r="D29" s="155">
        <f>B29</f>
        <v>4991.1000000000004</v>
      </c>
      <c r="E29" s="141">
        <f t="shared" si="2"/>
        <v>4.2375885122981391E-2</v>
      </c>
      <c r="F29" s="158"/>
      <c r="G29" s="140"/>
      <c r="H29" s="140"/>
      <c r="I29" s="142"/>
      <c r="J29" s="138"/>
      <c r="K29" s="138"/>
      <c r="L29" s="108"/>
      <c r="M29" s="156"/>
      <c r="N29" s="156"/>
      <c r="O29" s="141"/>
    </row>
    <row r="30" spans="1:19" x14ac:dyDescent="0.15">
      <c r="A30" s="133" t="s">
        <v>53</v>
      </c>
      <c r="B30" s="154">
        <v>2019.5</v>
      </c>
      <c r="C30" s="150">
        <v>306.5665802888559</v>
      </c>
      <c r="D30" s="155">
        <f>B30</f>
        <v>2019.5</v>
      </c>
      <c r="E30" s="141">
        <f t="shared" si="2"/>
        <v>0.15180320885806184</v>
      </c>
      <c r="F30" s="158"/>
      <c r="G30" s="140"/>
      <c r="H30" s="140"/>
      <c r="I30" s="142"/>
      <c r="J30" s="138"/>
      <c r="K30" s="138"/>
      <c r="L30" s="108"/>
      <c r="M30" s="156"/>
      <c r="N30" s="156"/>
      <c r="O30" s="141"/>
    </row>
    <row r="31" spans="1:19" x14ac:dyDescent="0.15">
      <c r="A31" s="133" t="s">
        <v>53</v>
      </c>
      <c r="B31" s="154">
        <v>2294.6999999999998</v>
      </c>
      <c r="C31" s="150">
        <v>343.67906124919278</v>
      </c>
      <c r="D31" s="155">
        <f>B31</f>
        <v>2294.6999999999998</v>
      </c>
      <c r="E31" s="141">
        <f t="shared" si="2"/>
        <v>0.14977080282790464</v>
      </c>
      <c r="F31" s="158"/>
      <c r="G31" s="140"/>
      <c r="H31" s="140"/>
      <c r="I31" s="142"/>
      <c r="J31" s="138"/>
      <c r="K31" s="138"/>
      <c r="L31" s="108"/>
      <c r="M31" s="156"/>
      <c r="N31" s="156"/>
      <c r="O31" s="141"/>
    </row>
    <row r="32" spans="1:19" x14ac:dyDescent="0.15">
      <c r="A32" s="133" t="s">
        <v>53</v>
      </c>
      <c r="B32" s="154">
        <v>1936.3</v>
      </c>
      <c r="C32" s="150">
        <v>303.21479863144327</v>
      </c>
      <c r="D32" s="155">
        <f>B32</f>
        <v>1936.3</v>
      </c>
      <c r="E32" s="141">
        <f t="shared" si="2"/>
        <v>0.15659494842299401</v>
      </c>
      <c r="F32" s="158">
        <f>AVERAGE(E30:E32)</f>
        <v>0.15272298670298681</v>
      </c>
      <c r="G32" s="140"/>
      <c r="H32" s="140"/>
      <c r="I32" s="142"/>
      <c r="J32" s="138"/>
      <c r="K32" s="138"/>
      <c r="L32" s="108"/>
      <c r="M32" s="156"/>
      <c r="N32" s="156"/>
      <c r="O32" s="141"/>
    </row>
    <row r="33" spans="1:19" x14ac:dyDescent="0.15">
      <c r="A33" s="133" t="s">
        <v>54</v>
      </c>
      <c r="B33" s="154">
        <v>2379.1</v>
      </c>
      <c r="C33" s="150">
        <v>461.81722053654778</v>
      </c>
      <c r="D33" s="155">
        <f>B33</f>
        <v>2379.1</v>
      </c>
      <c r="E33" s="141">
        <f t="shared" ref="E33:E34" si="4">C33/D33</f>
        <v>0.19411425351458442</v>
      </c>
      <c r="F33" s="158"/>
      <c r="G33" s="140"/>
      <c r="H33" s="140"/>
      <c r="I33" s="142"/>
      <c r="J33" s="138"/>
      <c r="K33" s="138"/>
      <c r="L33" s="108"/>
      <c r="M33" s="156"/>
      <c r="N33" s="156"/>
      <c r="O33" s="141"/>
    </row>
    <row r="34" spans="1:19" x14ac:dyDescent="0.15">
      <c r="A34" s="133" t="s">
        <v>54</v>
      </c>
      <c r="B34" s="154">
        <v>1419.9</v>
      </c>
      <c r="C34" s="150">
        <v>284.51282851399606</v>
      </c>
      <c r="D34" s="155">
        <f>B34</f>
        <v>1419.9</v>
      </c>
      <c r="E34" s="141">
        <f t="shared" si="4"/>
        <v>0.20037525777448836</v>
      </c>
      <c r="F34" s="158">
        <f>AVERAGE(E33:E34)</f>
        <v>0.19724475564453639</v>
      </c>
      <c r="G34" s="140"/>
      <c r="H34" s="140"/>
      <c r="I34" s="142"/>
      <c r="J34" s="138"/>
      <c r="K34" s="138"/>
      <c r="L34" s="108"/>
      <c r="M34" s="156"/>
      <c r="N34" s="156"/>
      <c r="O34" s="141"/>
    </row>
    <row r="35" spans="1:19" ht="56" x14ac:dyDescent="0.15">
      <c r="A35" s="133"/>
      <c r="B35" s="154"/>
      <c r="C35" s="150"/>
      <c r="D35" s="160" t="s">
        <v>67</v>
      </c>
      <c r="E35" s="161" t="s">
        <v>43</v>
      </c>
      <c r="F35" s="162"/>
      <c r="G35" s="163" t="s">
        <v>60</v>
      </c>
      <c r="H35" s="161" t="s">
        <v>68</v>
      </c>
      <c r="I35" s="164"/>
      <c r="J35" s="165" t="s">
        <v>69</v>
      </c>
      <c r="K35" s="165" t="s">
        <v>70</v>
      </c>
      <c r="L35" s="156"/>
      <c r="M35" s="165" t="s">
        <v>79</v>
      </c>
      <c r="N35" s="156"/>
      <c r="O35" s="141"/>
    </row>
    <row r="36" spans="1:19" x14ac:dyDescent="0.15">
      <c r="A36" s="133" t="s">
        <v>75</v>
      </c>
      <c r="B36" s="154"/>
      <c r="C36" s="150"/>
      <c r="D36" s="166">
        <v>19.541577120840387</v>
      </c>
      <c r="E36" s="167">
        <f>D36/100</f>
        <v>0.19541577120840387</v>
      </c>
      <c r="F36" s="137"/>
      <c r="G36" s="168">
        <v>3.13</v>
      </c>
      <c r="H36" s="149">
        <f>G36/100</f>
        <v>3.1300000000000001E-2</v>
      </c>
      <c r="I36" s="168"/>
      <c r="J36" s="137">
        <f>E36-H36</f>
        <v>0.16411577120840387</v>
      </c>
      <c r="K36" s="108">
        <f>(H36/E36)*100</f>
        <v>16.017130964634209</v>
      </c>
      <c r="L36" s="108"/>
      <c r="M36" s="137">
        <f>J36-F26</f>
        <v>0.15898099624566067</v>
      </c>
      <c r="N36" s="156"/>
      <c r="O36" s="141"/>
    </row>
    <row r="37" spans="1:19" x14ac:dyDescent="0.15">
      <c r="A37" s="133"/>
      <c r="B37" s="154"/>
      <c r="C37" s="150"/>
      <c r="D37" s="155"/>
      <c r="E37" s="141"/>
      <c r="F37" s="158"/>
      <c r="G37" s="140"/>
      <c r="H37" s="140"/>
      <c r="I37" s="142"/>
      <c r="J37" s="138"/>
      <c r="K37" s="138"/>
      <c r="L37" s="138"/>
      <c r="M37" s="156"/>
      <c r="N37" s="156"/>
      <c r="O37" s="141"/>
    </row>
    <row r="38" spans="1:19" x14ac:dyDescent="0.15">
      <c r="A38" s="133"/>
      <c r="B38" s="154"/>
      <c r="C38" s="150"/>
      <c r="D38" s="155"/>
      <c r="E38" s="141"/>
      <c r="F38" s="158"/>
      <c r="G38" s="140"/>
      <c r="H38" s="140"/>
      <c r="I38" s="142"/>
      <c r="J38" s="138"/>
      <c r="K38" s="138"/>
      <c r="L38" s="138"/>
      <c r="M38" s="156"/>
      <c r="N38" s="156"/>
      <c r="O38" s="141"/>
    </row>
    <row r="39" spans="1:19" x14ac:dyDescent="0.15">
      <c r="A39" s="133"/>
      <c r="B39" s="154"/>
      <c r="C39" s="150"/>
      <c r="D39" s="155"/>
      <c r="E39" s="141"/>
      <c r="F39" s="141"/>
      <c r="G39" s="141"/>
      <c r="H39" s="141"/>
      <c r="I39" s="142"/>
      <c r="J39" s="27"/>
      <c r="M39" s="156"/>
      <c r="N39" s="156"/>
      <c r="O39" s="141"/>
    </row>
    <row r="40" spans="1:19" ht="14" x14ac:dyDescent="0.15">
      <c r="A40" s="133" t="s">
        <v>71</v>
      </c>
      <c r="B40" s="154">
        <v>597.70000000000005</v>
      </c>
      <c r="C40" s="150">
        <v>3.4003582031722255</v>
      </c>
      <c r="D40" s="155">
        <f>B40</f>
        <v>597.70000000000005</v>
      </c>
      <c r="E40" s="141">
        <f t="shared" ref="E40:E42" si="5">C40/D40</f>
        <v>5.6890717804454162E-3</v>
      </c>
      <c r="F40" s="140"/>
      <c r="G40" s="140"/>
      <c r="H40" s="140"/>
      <c r="I40" s="142">
        <f t="shared" ref="I40:I42" si="6">(C40/D40)*100</f>
        <v>0.56890717804454161</v>
      </c>
      <c r="J40" s="138"/>
      <c r="K40" s="151"/>
      <c r="L40" s="157"/>
      <c r="M40" s="157">
        <f>(E40/$E$46)*100</f>
        <v>18.411235535422062</v>
      </c>
    </row>
    <row r="41" spans="1:19" ht="14" x14ac:dyDescent="0.15">
      <c r="A41" s="133" t="s">
        <v>72</v>
      </c>
      <c r="B41" s="172">
        <v>2712.3</v>
      </c>
      <c r="C41" s="150">
        <v>15.495918097313426</v>
      </c>
      <c r="D41" s="155">
        <f>B41</f>
        <v>2712.3</v>
      </c>
      <c r="E41" s="141">
        <f t="shared" si="5"/>
        <v>5.7132021152945566E-3</v>
      </c>
      <c r="F41" s="140"/>
      <c r="G41" s="140"/>
      <c r="H41" s="140"/>
      <c r="I41" s="142">
        <f t="shared" si="6"/>
        <v>0.57132021152945567</v>
      </c>
      <c r="J41" s="138"/>
      <c r="K41" s="151"/>
      <c r="L41" s="157"/>
      <c r="M41" s="157">
        <f t="shared" ref="M41:M42" si="7">(E41/$E$46)*100</f>
        <v>18.489327233962968</v>
      </c>
    </row>
    <row r="42" spans="1:19" ht="14" x14ac:dyDescent="0.15">
      <c r="A42" s="133" t="s">
        <v>72</v>
      </c>
      <c r="B42" s="154">
        <v>1870.9</v>
      </c>
      <c r="C42" s="150">
        <v>11.706947528064376</v>
      </c>
      <c r="D42" s="155">
        <f>B42</f>
        <v>1870.9</v>
      </c>
      <c r="E42" s="141">
        <f t="shared" si="5"/>
        <v>6.2573881704336819E-3</v>
      </c>
      <c r="F42" s="158">
        <f>AVERAGE(E40:E42)</f>
        <v>5.8865540220578855E-3</v>
      </c>
      <c r="G42" s="140">
        <f>STDEV(E40:E42)</f>
        <v>3.2137834784904984E-4</v>
      </c>
      <c r="H42" s="148">
        <f>G42/F42</f>
        <v>5.459532803823635E-2</v>
      </c>
      <c r="I42" s="142">
        <f t="shared" si="6"/>
        <v>0.6257388170433682</v>
      </c>
      <c r="J42" s="159">
        <f>AVERAGE(I40:I42)</f>
        <v>0.58865540220578849</v>
      </c>
      <c r="K42" s="151"/>
      <c r="L42" s="157"/>
      <c r="M42" s="157">
        <f t="shared" si="7"/>
        <v>20.250447153507064</v>
      </c>
      <c r="N42" s="157">
        <f>AVERAGE(M40:M42)</f>
        <v>19.050336640964034</v>
      </c>
      <c r="O42" s="157">
        <f>STDEV(M40:M42)</f>
        <v>1.0400593781522656</v>
      </c>
      <c r="P42" s="173">
        <f>O42/N42</f>
        <v>5.4595328038236378E-2</v>
      </c>
      <c r="Q42" s="157"/>
      <c r="R42" s="157"/>
      <c r="S42" s="173"/>
    </row>
    <row r="43" spans="1:19" x14ac:dyDescent="0.15">
      <c r="A43" s="133"/>
      <c r="B43" s="133"/>
      <c r="C43" s="150"/>
      <c r="D43" s="107"/>
      <c r="E43" s="141"/>
      <c r="F43" s="141"/>
      <c r="G43" s="141"/>
      <c r="H43" s="141"/>
      <c r="I43" s="142"/>
      <c r="J43" s="27"/>
      <c r="M43" s="156"/>
      <c r="N43" s="156"/>
      <c r="O43" s="141"/>
    </row>
    <row r="44" spans="1:19" ht="14" x14ac:dyDescent="0.15">
      <c r="A44" s="133"/>
      <c r="B44" s="133"/>
      <c r="C44" s="150"/>
      <c r="D44" s="107"/>
      <c r="E44" s="141"/>
      <c r="F44" s="140"/>
      <c r="G44" s="140"/>
      <c r="H44" s="140"/>
      <c r="I44" s="142"/>
      <c r="J44" s="138"/>
      <c r="K44" s="151"/>
      <c r="L44" s="138"/>
      <c r="O44" s="141"/>
    </row>
    <row r="45" spans="1:19" ht="14" x14ac:dyDescent="0.15">
      <c r="A45" s="133"/>
      <c r="B45" s="133"/>
      <c r="C45" s="150"/>
      <c r="D45" s="160" t="s">
        <v>67</v>
      </c>
      <c r="E45" s="161" t="s">
        <v>43</v>
      </c>
      <c r="F45" s="140"/>
      <c r="G45" s="140"/>
      <c r="H45" s="140"/>
      <c r="I45" s="142"/>
      <c r="J45" s="138"/>
      <c r="K45" s="151"/>
      <c r="L45" s="138"/>
      <c r="O45" s="141"/>
    </row>
    <row r="46" spans="1:19" ht="14" x14ac:dyDescent="0.15">
      <c r="A46" s="133" t="s">
        <v>73</v>
      </c>
      <c r="B46" s="154"/>
      <c r="C46" s="150"/>
      <c r="D46" s="169">
        <v>3.09</v>
      </c>
      <c r="E46" s="167">
        <f>D46/100</f>
        <v>3.0899999999999997E-2</v>
      </c>
      <c r="F46" s="140"/>
      <c r="G46" s="140"/>
      <c r="H46" s="140"/>
      <c r="I46" s="142"/>
      <c r="J46" s="138"/>
      <c r="K46" s="151"/>
      <c r="L46" s="138"/>
      <c r="O46" s="167"/>
    </row>
    <row r="47" spans="1:19" x14ac:dyDescent="0.15">
      <c r="A47" s="133"/>
      <c r="B47" s="133"/>
      <c r="C47" s="150"/>
      <c r="D47" s="107"/>
      <c r="E47" s="158"/>
      <c r="F47" s="140"/>
      <c r="G47" s="140"/>
      <c r="H47" s="140"/>
      <c r="I47" s="142"/>
      <c r="J47" s="138"/>
      <c r="K47" s="138"/>
      <c r="L47" s="138"/>
    </row>
    <row r="48" spans="1:19" x14ac:dyDescent="0.15">
      <c r="A48" s="133"/>
      <c r="B48" s="133"/>
      <c r="C48" s="150"/>
      <c r="D48" s="107"/>
      <c r="E48" s="158"/>
      <c r="F48" s="158"/>
      <c r="G48" s="140"/>
      <c r="H48" s="140"/>
      <c r="I48" s="142"/>
      <c r="J48" s="138"/>
      <c r="K48" s="138"/>
      <c r="L48" s="138"/>
    </row>
    <row r="49" spans="1:12" ht="14" x14ac:dyDescent="0.15">
      <c r="A49" s="133"/>
      <c r="B49" s="133"/>
      <c r="C49" s="150"/>
      <c r="D49" s="107"/>
      <c r="E49" s="141"/>
      <c r="F49" s="140"/>
      <c r="G49" s="140"/>
      <c r="H49" s="140"/>
      <c r="I49" s="142"/>
      <c r="J49" s="138"/>
      <c r="K49" s="151"/>
      <c r="L49" s="138"/>
    </row>
    <row r="50" spans="1:12" ht="14" x14ac:dyDescent="0.15">
      <c r="A50" s="133"/>
      <c r="B50" s="133"/>
      <c r="C50" s="150"/>
      <c r="D50" s="107"/>
      <c r="E50" s="141"/>
      <c r="F50" s="140"/>
      <c r="G50" s="140"/>
      <c r="H50" s="140"/>
      <c r="I50" s="142"/>
      <c r="J50" s="138"/>
      <c r="K50" s="151"/>
      <c r="L50" s="138"/>
    </row>
    <row r="51" spans="1:12" x14ac:dyDescent="0.15">
      <c r="A51" s="133"/>
      <c r="B51" s="133"/>
      <c r="C51" s="150"/>
      <c r="D51" s="107"/>
      <c r="E51" s="158"/>
      <c r="F51" s="158"/>
      <c r="G51" s="140"/>
      <c r="H51" s="140"/>
      <c r="I51" s="142"/>
      <c r="J51" s="138"/>
      <c r="K51" s="138"/>
      <c r="L51" s="138"/>
    </row>
    <row r="53" spans="1:12" ht="14" x14ac:dyDescent="0.15">
      <c r="A53" s="133"/>
      <c r="B53" s="133"/>
      <c r="C53" s="150"/>
      <c r="D53" s="107"/>
      <c r="E53" s="141"/>
      <c r="F53" s="140"/>
      <c r="G53" s="140"/>
      <c r="H53" s="140"/>
      <c r="I53" s="142"/>
      <c r="J53" s="138"/>
      <c r="K53" s="151"/>
      <c r="L53" s="138"/>
    </row>
    <row r="54" spans="1:12" ht="14" x14ac:dyDescent="0.15">
      <c r="A54" s="133"/>
      <c r="B54" s="133"/>
      <c r="C54" s="150"/>
      <c r="D54" s="107"/>
      <c r="E54" s="141"/>
      <c r="F54" s="140"/>
      <c r="G54" s="140"/>
      <c r="H54" s="140"/>
      <c r="I54" s="142"/>
      <c r="J54" s="138"/>
      <c r="K54" s="151"/>
      <c r="L54" s="138"/>
    </row>
    <row r="55" spans="1:12" ht="14" x14ac:dyDescent="0.15">
      <c r="A55" s="133"/>
      <c r="B55" s="133"/>
      <c r="C55" s="150"/>
      <c r="D55" s="107"/>
      <c r="E55" s="141"/>
      <c r="F55" s="140"/>
      <c r="G55" s="140"/>
      <c r="H55" s="140"/>
      <c r="I55" s="142"/>
      <c r="J55" s="138"/>
      <c r="K55" s="151"/>
      <c r="L55" s="138"/>
    </row>
    <row r="56" spans="1:12" x14ac:dyDescent="0.15">
      <c r="A56" s="133"/>
      <c r="B56" s="133"/>
      <c r="C56" s="150"/>
      <c r="D56" s="107"/>
      <c r="E56" s="158"/>
      <c r="F56" s="158"/>
      <c r="G56" s="140"/>
      <c r="H56" s="140"/>
      <c r="I56" s="142"/>
      <c r="J56" s="138"/>
      <c r="K56" s="138"/>
      <c r="L56" s="138"/>
    </row>
    <row r="58" spans="1:12" ht="14" x14ac:dyDescent="0.15">
      <c r="A58" s="133"/>
      <c r="B58" s="133"/>
      <c r="C58" s="150"/>
      <c r="D58" s="107"/>
      <c r="E58" s="141"/>
      <c r="F58" s="140"/>
      <c r="G58" s="140"/>
      <c r="H58" s="140"/>
      <c r="I58" s="142"/>
      <c r="J58" s="138"/>
      <c r="K58" s="151"/>
      <c r="L58" s="138"/>
    </row>
    <row r="59" spans="1:12" ht="14" x14ac:dyDescent="0.15">
      <c r="A59" s="133"/>
      <c r="B59" s="133"/>
      <c r="C59" s="150"/>
      <c r="D59" s="107"/>
      <c r="E59" s="141"/>
      <c r="F59" s="140"/>
      <c r="G59" s="140"/>
      <c r="H59" s="140"/>
      <c r="I59" s="142"/>
      <c r="J59" s="138"/>
      <c r="K59" s="151"/>
      <c r="L59" s="138"/>
    </row>
    <row r="60" spans="1:12" x14ac:dyDescent="0.15">
      <c r="A60" s="133"/>
      <c r="B60" s="133"/>
      <c r="C60" s="150"/>
      <c r="D60" s="107"/>
      <c r="E60" s="158"/>
      <c r="F60" s="158"/>
      <c r="G60" s="140"/>
      <c r="H60" s="140"/>
      <c r="I60" s="142"/>
      <c r="J60" s="138"/>
      <c r="K60" s="138"/>
      <c r="L60" s="138"/>
    </row>
  </sheetData>
  <pageMargins left="0.75" right="0.75" top="1" bottom="1" header="0.5" footer="0.5"/>
  <pageSetup scale="65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Act. STANDARD</vt:lpstr>
      <vt:lpstr>PLK &amp; CHECK STANDARD</vt:lpstr>
      <vt:lpstr>Black Carbon</vt:lpstr>
      <vt:lpstr> BC</vt:lpstr>
      <vt:lpstr>'Act. STANDARD'!Print_Area</vt:lpstr>
      <vt:lpstr>'Black Carbon'!Print_Area</vt:lpstr>
      <vt:lpstr>'PLK &amp; CHECK STANDARD'!Print_Area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Microsoft Office User</cp:lastModifiedBy>
  <cp:lastPrinted>2011-11-18T02:26:42Z</cp:lastPrinted>
  <dcterms:created xsi:type="dcterms:W3CDTF">2004-10-11T20:12:22Z</dcterms:created>
  <dcterms:modified xsi:type="dcterms:W3CDTF">2019-04-15T17:42:54Z</dcterms:modified>
</cp:coreProperties>
</file>