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44400" yWindow="200" windowWidth="22000" windowHeight="15020" tabRatio="500"/>
  </bookViews>
  <sheets>
    <sheet name="AL6 &amp; AL8 FLUX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56" i="1" l="1"/>
  <c r="AK56" i="1"/>
  <c r="AJ54" i="1"/>
  <c r="AK54" i="1"/>
  <c r="AC58" i="1"/>
  <c r="AC42" i="1"/>
  <c r="AC27" i="1"/>
  <c r="AL61" i="1"/>
  <c r="AJ55" i="1"/>
  <c r="AK55" i="1"/>
  <c r="AK61" i="1"/>
  <c r="AO61" i="1"/>
  <c r="AN61" i="1"/>
  <c r="AM61" i="1"/>
  <c r="Q17" i="1"/>
  <c r="Q16" i="1"/>
  <c r="Q19" i="1"/>
  <c r="Q18" i="1"/>
  <c r="O18" i="1"/>
  <c r="O17" i="1"/>
  <c r="O16" i="1"/>
  <c r="AK62" i="1"/>
  <c r="AK64" i="1"/>
  <c r="AK63" i="1"/>
  <c r="AI62" i="1"/>
  <c r="AI61" i="1"/>
  <c r="AI64" i="1"/>
  <c r="AI63" i="1"/>
  <c r="AE63" i="1"/>
  <c r="AE62" i="1"/>
  <c r="AE61" i="1"/>
  <c r="AE64" i="1"/>
  <c r="AL46" i="1"/>
  <c r="AO46" i="1"/>
  <c r="AN46" i="1"/>
  <c r="AM46" i="1"/>
  <c r="AK47" i="1"/>
  <c r="AK46" i="1"/>
  <c r="AK49" i="1"/>
  <c r="AK48" i="1"/>
  <c r="AI47" i="1"/>
  <c r="AI46" i="1"/>
  <c r="AI49" i="1"/>
  <c r="AI48" i="1"/>
  <c r="AE47" i="1"/>
  <c r="AE46" i="1"/>
  <c r="AE49" i="1"/>
  <c r="AE48" i="1"/>
  <c r="AL31" i="1"/>
  <c r="AO31" i="1"/>
  <c r="AN31" i="1"/>
  <c r="AM31" i="1"/>
  <c r="AI31" i="1"/>
  <c r="AK32" i="1"/>
  <c r="AK31" i="1"/>
  <c r="AK34" i="1"/>
  <c r="AK33" i="1"/>
  <c r="AI32" i="1"/>
  <c r="AI34" i="1"/>
  <c r="AI33" i="1"/>
  <c r="AE33" i="1"/>
  <c r="AE32" i="1"/>
  <c r="AE31" i="1"/>
  <c r="AI9" i="1"/>
  <c r="AJ9" i="1"/>
  <c r="AK9" i="1"/>
  <c r="AI10" i="1"/>
  <c r="AJ10" i="1"/>
  <c r="AK10" i="1"/>
  <c r="AI11" i="1"/>
  <c r="AJ11" i="1"/>
  <c r="AK11" i="1"/>
  <c r="AK17" i="1"/>
  <c r="AK16" i="1"/>
  <c r="AK19" i="1"/>
  <c r="AK18" i="1"/>
  <c r="AI17" i="1"/>
  <c r="AI16" i="1"/>
  <c r="AI19" i="1"/>
  <c r="AI18" i="1"/>
  <c r="AE18" i="1"/>
  <c r="AE19" i="1"/>
  <c r="AE34" i="1"/>
  <c r="E7" i="1"/>
  <c r="M9" i="1"/>
  <c r="N9" i="1"/>
  <c r="O9" i="1"/>
  <c r="M10" i="1"/>
  <c r="N10" i="1"/>
  <c r="O10" i="1"/>
  <c r="M11" i="1"/>
  <c r="N11" i="1"/>
  <c r="O11" i="1"/>
  <c r="M12" i="1"/>
  <c r="N12" i="1"/>
  <c r="O12" i="1"/>
  <c r="M13" i="1"/>
  <c r="N13" i="1"/>
  <c r="O13" i="1"/>
  <c r="M14" i="1"/>
  <c r="N14" i="1"/>
  <c r="O14" i="1"/>
  <c r="AN16" i="1"/>
  <c r="AC9" i="1"/>
  <c r="AD9" i="1"/>
  <c r="AE9" i="1"/>
  <c r="AC10" i="1"/>
  <c r="AD10" i="1"/>
  <c r="AE10" i="1"/>
  <c r="AC11" i="1"/>
  <c r="AD11" i="1"/>
  <c r="AE11" i="1"/>
  <c r="AE16" i="1"/>
  <c r="AM16" i="1"/>
  <c r="AL16" i="1"/>
  <c r="AO16" i="1"/>
  <c r="AE17" i="1"/>
  <c r="E52" i="1"/>
  <c r="AC54" i="1"/>
  <c r="AD54" i="1"/>
  <c r="AE54" i="1"/>
  <c r="AC55" i="1"/>
  <c r="AD55" i="1"/>
  <c r="AE55" i="1"/>
  <c r="AC56" i="1"/>
  <c r="AD56" i="1"/>
  <c r="AE56" i="1"/>
  <c r="M54" i="1"/>
  <c r="T54" i="1"/>
  <c r="Y54" i="1"/>
  <c r="M55" i="1"/>
  <c r="T55" i="1"/>
  <c r="Y55" i="1"/>
  <c r="M56" i="1"/>
  <c r="T56" i="1"/>
  <c r="Y56" i="1"/>
  <c r="M57" i="1"/>
  <c r="T57" i="1"/>
  <c r="Y57" i="1"/>
  <c r="M58" i="1"/>
  <c r="T58" i="1"/>
  <c r="Y58" i="1"/>
  <c r="M59" i="1"/>
  <c r="T59" i="1"/>
  <c r="Y59" i="1"/>
  <c r="Y62" i="1"/>
  <c r="Y61" i="1"/>
  <c r="Y64" i="1"/>
  <c r="X54" i="1"/>
  <c r="X55" i="1"/>
  <c r="X56" i="1"/>
  <c r="X57" i="1"/>
  <c r="X58" i="1"/>
  <c r="X59" i="1"/>
  <c r="X62" i="1"/>
  <c r="X61" i="1"/>
  <c r="X64" i="1"/>
  <c r="U54" i="1"/>
  <c r="V54" i="1"/>
  <c r="U55" i="1"/>
  <c r="V55" i="1"/>
  <c r="U56" i="1"/>
  <c r="V56" i="1"/>
  <c r="U57" i="1"/>
  <c r="V57" i="1"/>
  <c r="U58" i="1"/>
  <c r="V58" i="1"/>
  <c r="U59" i="1"/>
  <c r="V59" i="1"/>
  <c r="V62" i="1"/>
  <c r="V61" i="1"/>
  <c r="V64" i="1"/>
  <c r="H54" i="1"/>
  <c r="Q54" i="1"/>
  <c r="H55" i="1"/>
  <c r="Q55" i="1"/>
  <c r="H56" i="1"/>
  <c r="Q56" i="1"/>
  <c r="H57" i="1"/>
  <c r="Q57" i="1"/>
  <c r="H58" i="1"/>
  <c r="Q58" i="1"/>
  <c r="H59" i="1"/>
  <c r="Q59" i="1"/>
  <c r="Q62" i="1"/>
  <c r="Q61" i="1"/>
  <c r="Q64" i="1"/>
  <c r="N54" i="1"/>
  <c r="O54" i="1"/>
  <c r="N55" i="1"/>
  <c r="O55" i="1"/>
  <c r="N56" i="1"/>
  <c r="O56" i="1"/>
  <c r="N57" i="1"/>
  <c r="O57" i="1"/>
  <c r="N58" i="1"/>
  <c r="O58" i="1"/>
  <c r="N59" i="1"/>
  <c r="O59" i="1"/>
  <c r="O62" i="1"/>
  <c r="O61" i="1"/>
  <c r="O64" i="1"/>
  <c r="I54" i="1"/>
  <c r="J54" i="1"/>
  <c r="I55" i="1"/>
  <c r="J55" i="1"/>
  <c r="I56" i="1"/>
  <c r="J56" i="1"/>
  <c r="I57" i="1"/>
  <c r="J57" i="1"/>
  <c r="I58" i="1"/>
  <c r="J58" i="1"/>
  <c r="I59" i="1"/>
  <c r="J59" i="1"/>
  <c r="J62" i="1"/>
  <c r="J61" i="1"/>
  <c r="J64" i="1"/>
  <c r="Y63" i="1"/>
  <c r="X63" i="1"/>
  <c r="V63" i="1"/>
  <c r="Q63" i="1"/>
  <c r="O63" i="1"/>
  <c r="J63" i="1"/>
  <c r="AI38" i="1"/>
  <c r="E36" i="1"/>
  <c r="AJ38" i="1"/>
  <c r="AK38" i="1"/>
  <c r="AI39" i="1"/>
  <c r="AJ39" i="1"/>
  <c r="AK39" i="1"/>
  <c r="AI40" i="1"/>
  <c r="AJ40" i="1"/>
  <c r="AK40" i="1"/>
  <c r="AC38" i="1"/>
  <c r="AD38" i="1"/>
  <c r="AE38" i="1"/>
  <c r="AC39" i="1"/>
  <c r="AD39" i="1"/>
  <c r="AE39" i="1"/>
  <c r="AC40" i="1"/>
  <c r="AD40" i="1"/>
  <c r="AE40" i="1"/>
  <c r="M38" i="1"/>
  <c r="T38" i="1"/>
  <c r="Y38" i="1"/>
  <c r="M39" i="1"/>
  <c r="T39" i="1"/>
  <c r="Y39" i="1"/>
  <c r="M40" i="1"/>
  <c r="T40" i="1"/>
  <c r="Y40" i="1"/>
  <c r="M41" i="1"/>
  <c r="T41" i="1"/>
  <c r="Y41" i="1"/>
  <c r="M42" i="1"/>
  <c r="T42" i="1"/>
  <c r="Y42" i="1"/>
  <c r="M43" i="1"/>
  <c r="T43" i="1"/>
  <c r="Y43" i="1"/>
  <c r="Y47" i="1"/>
  <c r="Y46" i="1"/>
  <c r="Y49" i="1"/>
  <c r="X38" i="1"/>
  <c r="X39" i="1"/>
  <c r="X40" i="1"/>
  <c r="X41" i="1"/>
  <c r="X42" i="1"/>
  <c r="X43" i="1"/>
  <c r="X47" i="1"/>
  <c r="X46" i="1"/>
  <c r="X49" i="1"/>
  <c r="U38" i="1"/>
  <c r="V38" i="1"/>
  <c r="U39" i="1"/>
  <c r="V39" i="1"/>
  <c r="U40" i="1"/>
  <c r="V40" i="1"/>
  <c r="U41" i="1"/>
  <c r="V41" i="1"/>
  <c r="U42" i="1"/>
  <c r="V42" i="1"/>
  <c r="U43" i="1"/>
  <c r="V43" i="1"/>
  <c r="V47" i="1"/>
  <c r="V46" i="1"/>
  <c r="V49" i="1"/>
  <c r="H38" i="1"/>
  <c r="Q38" i="1"/>
  <c r="H39" i="1"/>
  <c r="Q39" i="1"/>
  <c r="H40" i="1"/>
  <c r="Q40" i="1"/>
  <c r="H41" i="1"/>
  <c r="Q41" i="1"/>
  <c r="H42" i="1"/>
  <c r="Q42" i="1"/>
  <c r="H43" i="1"/>
  <c r="Q43" i="1"/>
  <c r="Q47" i="1"/>
  <c r="Q46" i="1"/>
  <c r="Q49" i="1"/>
  <c r="N38" i="1"/>
  <c r="O38" i="1"/>
  <c r="N39" i="1"/>
  <c r="O39" i="1"/>
  <c r="N40" i="1"/>
  <c r="O40" i="1"/>
  <c r="N41" i="1"/>
  <c r="O41" i="1"/>
  <c r="N42" i="1"/>
  <c r="O42" i="1"/>
  <c r="N43" i="1"/>
  <c r="O43" i="1"/>
  <c r="O47" i="1"/>
  <c r="O46" i="1"/>
  <c r="O49" i="1"/>
  <c r="I38" i="1"/>
  <c r="J38" i="1"/>
  <c r="I39" i="1"/>
  <c r="J39" i="1"/>
  <c r="I40" i="1"/>
  <c r="J40" i="1"/>
  <c r="I41" i="1"/>
  <c r="J41" i="1"/>
  <c r="I42" i="1"/>
  <c r="J42" i="1"/>
  <c r="I43" i="1"/>
  <c r="J43" i="1"/>
  <c r="J47" i="1"/>
  <c r="J46" i="1"/>
  <c r="J49" i="1"/>
  <c r="Y48" i="1"/>
  <c r="X48" i="1"/>
  <c r="V48" i="1"/>
  <c r="Q48" i="1"/>
  <c r="O48" i="1"/>
  <c r="J48" i="1"/>
  <c r="AI23" i="1"/>
  <c r="E21" i="1"/>
  <c r="AJ23" i="1"/>
  <c r="AK23" i="1"/>
  <c r="AI24" i="1"/>
  <c r="AJ24" i="1"/>
  <c r="AK24" i="1"/>
  <c r="AI25" i="1"/>
  <c r="AJ25" i="1"/>
  <c r="AK25" i="1"/>
  <c r="AC23" i="1"/>
  <c r="AD23" i="1"/>
  <c r="AE23" i="1"/>
  <c r="AC24" i="1"/>
  <c r="AD24" i="1"/>
  <c r="AE24" i="1"/>
  <c r="AC25" i="1"/>
  <c r="AD25" i="1"/>
  <c r="AE25" i="1"/>
  <c r="M23" i="1"/>
  <c r="T23" i="1"/>
  <c r="Y23" i="1"/>
  <c r="M24" i="1"/>
  <c r="T24" i="1"/>
  <c r="Y24" i="1"/>
  <c r="M25" i="1"/>
  <c r="T25" i="1"/>
  <c r="Y25" i="1"/>
  <c r="M26" i="1"/>
  <c r="T26" i="1"/>
  <c r="Y26" i="1"/>
  <c r="M27" i="1"/>
  <c r="T27" i="1"/>
  <c r="Y27" i="1"/>
  <c r="M28" i="1"/>
  <c r="T28" i="1"/>
  <c r="Y28" i="1"/>
  <c r="Y32" i="1"/>
  <c r="Y31" i="1"/>
  <c r="Y34" i="1"/>
  <c r="X23" i="1"/>
  <c r="X24" i="1"/>
  <c r="X25" i="1"/>
  <c r="X26" i="1"/>
  <c r="X27" i="1"/>
  <c r="X28" i="1"/>
  <c r="X32" i="1"/>
  <c r="X31" i="1"/>
  <c r="X34" i="1"/>
  <c r="U23" i="1"/>
  <c r="V23" i="1"/>
  <c r="U24" i="1"/>
  <c r="V24" i="1"/>
  <c r="U25" i="1"/>
  <c r="V25" i="1"/>
  <c r="U26" i="1"/>
  <c r="V26" i="1"/>
  <c r="U27" i="1"/>
  <c r="V27" i="1"/>
  <c r="U28" i="1"/>
  <c r="V28" i="1"/>
  <c r="V32" i="1"/>
  <c r="V31" i="1"/>
  <c r="V34" i="1"/>
  <c r="H23" i="1"/>
  <c r="Q23" i="1"/>
  <c r="H24" i="1"/>
  <c r="Q24" i="1"/>
  <c r="H25" i="1"/>
  <c r="Q25" i="1"/>
  <c r="H26" i="1"/>
  <c r="Q26" i="1"/>
  <c r="H27" i="1"/>
  <c r="Q27" i="1"/>
  <c r="H28" i="1"/>
  <c r="Q28" i="1"/>
  <c r="Q32" i="1"/>
  <c r="Q31" i="1"/>
  <c r="Q34" i="1"/>
  <c r="N23" i="1"/>
  <c r="O23" i="1"/>
  <c r="N24" i="1"/>
  <c r="O24" i="1"/>
  <c r="N25" i="1"/>
  <c r="O25" i="1"/>
  <c r="N26" i="1"/>
  <c r="O26" i="1"/>
  <c r="N27" i="1"/>
  <c r="O27" i="1"/>
  <c r="N28" i="1"/>
  <c r="O28" i="1"/>
  <c r="O32" i="1"/>
  <c r="O31" i="1"/>
  <c r="O34" i="1"/>
  <c r="I23" i="1"/>
  <c r="J23" i="1"/>
  <c r="I24" i="1"/>
  <c r="J24" i="1"/>
  <c r="I25" i="1"/>
  <c r="J25" i="1"/>
  <c r="I26" i="1"/>
  <c r="J26" i="1"/>
  <c r="I27" i="1"/>
  <c r="J27" i="1"/>
  <c r="I28" i="1"/>
  <c r="J28" i="1"/>
  <c r="J32" i="1"/>
  <c r="J31" i="1"/>
  <c r="J34" i="1"/>
  <c r="Y33" i="1"/>
  <c r="X33" i="1"/>
  <c r="V33" i="1"/>
  <c r="Q33" i="1"/>
  <c r="O33" i="1"/>
  <c r="J33" i="1"/>
  <c r="T9" i="1"/>
  <c r="Y9" i="1"/>
  <c r="T10" i="1"/>
  <c r="Y10" i="1"/>
  <c r="T11" i="1"/>
  <c r="Y11" i="1"/>
  <c r="T12" i="1"/>
  <c r="Y12" i="1"/>
  <c r="T14" i="1"/>
  <c r="Y14" i="1"/>
  <c r="Y17" i="1"/>
  <c r="Y16" i="1"/>
  <c r="Y19" i="1"/>
  <c r="X9" i="1"/>
  <c r="X10" i="1"/>
  <c r="X11" i="1"/>
  <c r="X12" i="1"/>
  <c r="X14" i="1"/>
  <c r="X17" i="1"/>
  <c r="X16" i="1"/>
  <c r="X19" i="1"/>
  <c r="U9" i="1"/>
  <c r="V9" i="1"/>
  <c r="U10" i="1"/>
  <c r="V10" i="1"/>
  <c r="U11" i="1"/>
  <c r="V11" i="1"/>
  <c r="U12" i="1"/>
  <c r="V12" i="1"/>
  <c r="U14" i="1"/>
  <c r="V14" i="1"/>
  <c r="V17" i="1"/>
  <c r="V16" i="1"/>
  <c r="V19" i="1"/>
  <c r="H9" i="1"/>
  <c r="Q9" i="1"/>
  <c r="H10" i="1"/>
  <c r="Q10" i="1"/>
  <c r="H11" i="1"/>
  <c r="Q11" i="1"/>
  <c r="H12" i="1"/>
  <c r="Q12" i="1"/>
  <c r="H14" i="1"/>
  <c r="Q14" i="1"/>
  <c r="O19" i="1"/>
  <c r="I9" i="1"/>
  <c r="J9" i="1"/>
  <c r="I10" i="1"/>
  <c r="J10" i="1"/>
  <c r="I11" i="1"/>
  <c r="J11" i="1"/>
  <c r="I12" i="1"/>
  <c r="J12" i="1"/>
  <c r="I14" i="1"/>
  <c r="J14" i="1"/>
  <c r="J17" i="1"/>
  <c r="J16" i="1"/>
  <c r="J19" i="1"/>
  <c r="T13" i="1"/>
  <c r="Y13" i="1"/>
  <c r="Y18" i="1"/>
  <c r="X13" i="1"/>
  <c r="X18" i="1"/>
  <c r="U13" i="1"/>
  <c r="V13" i="1"/>
  <c r="V18" i="1"/>
  <c r="H13" i="1"/>
  <c r="Q13" i="1"/>
  <c r="I13" i="1"/>
  <c r="J13" i="1"/>
  <c r="J18" i="1"/>
  <c r="AC13" i="1"/>
  <c r="P14" i="1"/>
  <c r="P13" i="1"/>
  <c r="P12" i="1"/>
  <c r="P11" i="1"/>
  <c r="P10" i="1"/>
  <c r="P9" i="1"/>
</calcChain>
</file>

<file path=xl/sharedStrings.xml><?xml version="1.0" encoding="utf-8"?>
<sst xmlns="http://schemas.openxmlformats.org/spreadsheetml/2006/main" count="123" uniqueCount="40">
  <si>
    <t>Trap</t>
  </si>
  <si>
    <t>DAYS</t>
  </si>
  <si>
    <t>Total Mass</t>
  </si>
  <si>
    <t>Mass of Sample</t>
  </si>
  <si>
    <t>ug</t>
  </si>
  <si>
    <r>
      <t>mg/m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</rPr>
      <t>/d</t>
    </r>
  </si>
  <si>
    <t>cruise</t>
  </si>
  <si>
    <t>ID</t>
  </si>
  <si>
    <t>time</t>
  </si>
  <si>
    <t>from all traps</t>
  </si>
  <si>
    <t>Ran in EA</t>
  </si>
  <si>
    <t>N</t>
  </si>
  <si>
    <t>C</t>
  </si>
  <si>
    <t>H</t>
  </si>
  <si>
    <t>PIC</t>
  </si>
  <si>
    <t>Black Carbon</t>
  </si>
  <si>
    <t>(mg)</t>
  </si>
  <si>
    <t>(ug)</t>
  </si>
  <si>
    <t>measured</t>
  </si>
  <si>
    <t>per ug sample</t>
  </si>
  <si>
    <t>per depth</t>
  </si>
  <si>
    <t>C/N</t>
  </si>
  <si>
    <t>H/C</t>
  </si>
  <si>
    <t>C/H</t>
  </si>
  <si>
    <t>AL6 &amp; AL8</t>
  </si>
  <si>
    <t>AL6-1/2/3</t>
  </si>
  <si>
    <t>1 2 3</t>
  </si>
  <si>
    <t>mean</t>
  </si>
  <si>
    <t>POC Flux</t>
  </si>
  <si>
    <t>sd</t>
  </si>
  <si>
    <t>mg/m2/d</t>
  </si>
  <si>
    <t>n</t>
  </si>
  <si>
    <t>CV</t>
  </si>
  <si>
    <t>AL6-18</t>
  </si>
  <si>
    <t>AL8-5</t>
  </si>
  <si>
    <t>AL8-17</t>
  </si>
  <si>
    <t>1 7</t>
  </si>
  <si>
    <t>PIC/TC</t>
  </si>
  <si>
    <t>BC/TC</t>
  </si>
  <si>
    <t>POC Flux (-BC)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</si>
</sst>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0"/>
    <numFmt numFmtId="166" formatCode="0.00000"/>
    <numFmt numFmtId="167" formatCode="0.0%"/>
    <numFmt numFmtId="168" formatCode="0.000000000"/>
    <numFmt numFmtId="169" formatCode="0.000000"/>
    <numFmt numFmtId="171" formatCode="0.000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b/>
      <i/>
      <sz val="10"/>
      <name val="Arial"/>
    </font>
    <font>
      <b/>
      <i/>
      <sz val="10"/>
      <color indexed="10"/>
      <name val="Arial"/>
      <family val="2"/>
    </font>
    <font>
      <b/>
      <i/>
      <vertAlign val="superscript"/>
      <sz val="10"/>
      <name val="Arial"/>
      <family val="2"/>
    </font>
    <font>
      <b/>
      <i/>
      <sz val="10"/>
      <color rgb="FFDD080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0"/>
      <color theme="1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32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25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Fill="1" applyAlignment="1">
      <alignment horizontal="center"/>
    </xf>
    <xf numFmtId="0" fontId="4" fillId="0" borderId="0" xfId="2" applyFont="1" applyAlignment="1">
      <alignment horizontal="center"/>
    </xf>
    <xf numFmtId="164" fontId="4" fillId="0" borderId="0" xfId="2" applyNumberFormat="1" applyFont="1" applyAlignment="1">
      <alignment horizontal="center"/>
    </xf>
    <xf numFmtId="4" fontId="5" fillId="0" borderId="0" xfId="1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164" fontId="5" fillId="0" borderId="0" xfId="2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2" fontId="4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0" fontId="3" fillId="0" borderId="0" xfId="1"/>
    <xf numFmtId="0" fontId="8" fillId="0" borderId="0" xfId="1" applyFont="1" applyFill="1" applyAlignment="1">
      <alignment horizontal="center"/>
    </xf>
    <xf numFmtId="0" fontId="9" fillId="0" borderId="0" xfId="2" applyFont="1" applyAlignment="1">
      <alignment horizontal="center"/>
    </xf>
    <xf numFmtId="164" fontId="9" fillId="0" borderId="0" xfId="2" applyNumberFormat="1" applyFont="1" applyAlignment="1">
      <alignment horizontal="center"/>
    </xf>
    <xf numFmtId="0" fontId="10" fillId="0" borderId="0" xfId="1" applyFont="1" applyFill="1"/>
    <xf numFmtId="0" fontId="11" fillId="0" borderId="0" xfId="1" applyFont="1"/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164" fontId="5" fillId="0" borderId="0" xfId="1" applyNumberFormat="1" applyFont="1" applyAlignment="1">
      <alignment horizontal="center"/>
    </xf>
    <xf numFmtId="2" fontId="3" fillId="0" borderId="0" xfId="1" applyNumberFormat="1"/>
    <xf numFmtId="165" fontId="3" fillId="0" borderId="0" xfId="1" applyNumberFormat="1"/>
    <xf numFmtId="164" fontId="3" fillId="0" borderId="0" xfId="1" applyNumberFormat="1"/>
    <xf numFmtId="164" fontId="9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14" fontId="0" fillId="0" borderId="0" xfId="1" applyNumberFormat="1" applyFont="1" applyAlignment="1">
      <alignment horizontal="center"/>
    </xf>
    <xf numFmtId="2" fontId="3" fillId="0" borderId="0" xfId="1" applyNumberFormat="1" applyFont="1" applyFill="1"/>
    <xf numFmtId="0" fontId="13" fillId="0" borderId="0" xfId="2" applyFont="1" applyAlignment="1">
      <alignment horizontal="center"/>
    </xf>
    <xf numFmtId="4" fontId="4" fillId="0" borderId="0" xfId="2" applyNumberFormat="1" applyFont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2" fontId="3" fillId="0" borderId="0" xfId="1" applyNumberFormat="1" applyAlignment="1">
      <alignment horizontal="center"/>
    </xf>
    <xf numFmtId="164" fontId="3" fillId="0" borderId="0" xfId="1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2" fontId="4" fillId="0" borderId="0" xfId="2" applyNumberFormat="1" applyFont="1" applyBorder="1" applyAlignment="1">
      <alignment horizontal="center"/>
    </xf>
    <xf numFmtId="165" fontId="4" fillId="0" borderId="0" xfId="2" applyNumberFormat="1" applyFont="1" applyAlignment="1">
      <alignment horizontal="center"/>
    </xf>
    <xf numFmtId="2" fontId="9" fillId="0" borderId="0" xfId="1" applyNumberFormat="1" applyFont="1" applyAlignment="1">
      <alignment horizontal="center"/>
    </xf>
    <xf numFmtId="165" fontId="9" fillId="0" borderId="0" xfId="1" applyNumberFormat="1" applyFont="1" applyAlignment="1">
      <alignment horizontal="center"/>
    </xf>
    <xf numFmtId="0" fontId="0" fillId="0" borderId="0" xfId="1" applyFont="1" applyAlignment="1">
      <alignment horizontal="center"/>
    </xf>
    <xf numFmtId="165" fontId="3" fillId="0" borderId="0" xfId="1" applyNumberFormat="1" applyFont="1" applyAlignment="1">
      <alignment horizontal="center"/>
    </xf>
    <xf numFmtId="164" fontId="10" fillId="0" borderId="0" xfId="1" applyNumberFormat="1" applyFont="1"/>
    <xf numFmtId="4" fontId="3" fillId="0" borderId="0" xfId="2" applyNumberFormat="1" applyFont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6" fontId="9" fillId="0" borderId="0" xfId="1" applyNumberFormat="1" applyFont="1" applyAlignment="1">
      <alignment horizontal="center"/>
    </xf>
    <xf numFmtId="0" fontId="0" fillId="0" borderId="0" xfId="0" applyFill="1"/>
    <xf numFmtId="165" fontId="3" fillId="0" borderId="0" xfId="1" applyNumberFormat="1" applyAlignment="1">
      <alignment horizontal="center"/>
    </xf>
    <xf numFmtId="0" fontId="3" fillId="0" borderId="0" xfId="1" applyFill="1"/>
    <xf numFmtId="0" fontId="3" fillId="2" borderId="0" xfId="1" applyFill="1" applyAlignment="1">
      <alignment horizontal="center"/>
    </xf>
    <xf numFmtId="0" fontId="0" fillId="2" borderId="0" xfId="1" applyFont="1" applyFill="1" applyAlignment="1">
      <alignment horizontal="center"/>
    </xf>
    <xf numFmtId="2" fontId="3" fillId="2" borderId="0" xfId="1" applyNumberFormat="1" applyFont="1" applyFill="1"/>
    <xf numFmtId="165" fontId="3" fillId="2" borderId="0" xfId="1" applyNumberFormat="1" applyFont="1" applyFill="1" applyAlignment="1">
      <alignment horizontal="center"/>
    </xf>
    <xf numFmtId="164" fontId="3" fillId="2" borderId="0" xfId="1" applyNumberFormat="1" applyFill="1" applyAlignment="1">
      <alignment horizontal="center"/>
    </xf>
    <xf numFmtId="164" fontId="10" fillId="2" borderId="0" xfId="1" applyNumberFormat="1" applyFont="1" applyFill="1"/>
    <xf numFmtId="2" fontId="3" fillId="2" borderId="0" xfId="1" applyNumberFormat="1" applyFill="1" applyAlignment="1">
      <alignment horizontal="center"/>
    </xf>
    <xf numFmtId="165" fontId="4" fillId="2" borderId="0" xfId="2" applyNumberFormat="1" applyFont="1" applyFill="1" applyBorder="1" applyAlignment="1">
      <alignment horizontal="center"/>
    </xf>
    <xf numFmtId="164" fontId="4" fillId="2" borderId="0" xfId="2" applyNumberFormat="1" applyFont="1" applyFill="1" applyAlignment="1">
      <alignment horizontal="center"/>
    </xf>
    <xf numFmtId="2" fontId="9" fillId="2" borderId="0" xfId="1" applyNumberFormat="1" applyFon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2" fontId="3" fillId="2" borderId="0" xfId="1" applyNumberFormat="1" applyFill="1"/>
    <xf numFmtId="165" fontId="4" fillId="2" borderId="0" xfId="2" applyNumberFormat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165" fontId="9" fillId="2" borderId="0" xfId="1" applyNumberFormat="1" applyFont="1" applyFill="1" applyAlignment="1">
      <alignment horizontal="center"/>
    </xf>
    <xf numFmtId="164" fontId="9" fillId="2" borderId="0" xfId="1" applyNumberFormat="1" applyFont="1" applyFill="1" applyAlignment="1">
      <alignment horizontal="center"/>
    </xf>
    <xf numFmtId="0" fontId="3" fillId="2" borderId="0" xfId="1" applyFill="1"/>
    <xf numFmtId="164" fontId="10" fillId="0" borderId="0" xfId="1" applyNumberFormat="1" applyFont="1" applyFill="1"/>
    <xf numFmtId="165" fontId="3" fillId="0" borderId="0" xfId="1" applyNumberFormat="1" applyFill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164" fontId="4" fillId="0" borderId="0" xfId="2" applyNumberFormat="1" applyFont="1" applyFill="1" applyAlignment="1">
      <alignment horizontal="center"/>
    </xf>
    <xf numFmtId="166" fontId="9" fillId="0" borderId="0" xfId="1" applyNumberFormat="1" applyFont="1" applyFill="1" applyAlignment="1">
      <alignment horizontal="center"/>
    </xf>
    <xf numFmtId="165" fontId="4" fillId="0" borderId="0" xfId="2" applyNumberFormat="1" applyFont="1" applyFill="1" applyAlignment="1">
      <alignment horizontal="center"/>
    </xf>
    <xf numFmtId="4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2" fontId="10" fillId="0" borderId="0" xfId="1" applyNumberFormat="1" applyFont="1" applyAlignment="1">
      <alignment horizontal="center"/>
    </xf>
    <xf numFmtId="165" fontId="10" fillId="0" borderId="0" xfId="1" applyNumberFormat="1" applyFont="1" applyAlignment="1">
      <alignment horizontal="center"/>
    </xf>
    <xf numFmtId="164" fontId="10" fillId="0" borderId="0" xfId="1" applyNumberFormat="1" applyFont="1" applyAlignment="1">
      <alignment horizontal="center"/>
    </xf>
    <xf numFmtId="0" fontId="3" fillId="0" borderId="0" xfId="1" applyAlignment="1">
      <alignment horizontal="right"/>
    </xf>
    <xf numFmtId="2" fontId="3" fillId="0" borderId="0" xfId="1" applyNumberFormat="1" applyFont="1" applyFill="1" applyAlignment="1">
      <alignment horizontal="center"/>
    </xf>
    <xf numFmtId="4" fontId="10" fillId="0" borderId="0" xfId="1" applyNumberFormat="1" applyFont="1" applyAlignment="1">
      <alignment horizontal="center"/>
    </xf>
    <xf numFmtId="1" fontId="3" fillId="0" borderId="0" xfId="1" applyNumberFormat="1" applyAlignment="1">
      <alignment horizontal="center"/>
    </xf>
    <xf numFmtId="1" fontId="10" fillId="0" borderId="0" xfId="1" applyNumberFormat="1" applyFont="1" applyAlignment="1">
      <alignment horizontal="center"/>
    </xf>
    <xf numFmtId="9" fontId="9" fillId="0" borderId="0" xfId="1" applyNumberFormat="1" applyFont="1" applyAlignment="1">
      <alignment horizontal="center"/>
    </xf>
    <xf numFmtId="2" fontId="8" fillId="0" borderId="0" xfId="1" applyNumberFormat="1" applyFont="1" applyAlignment="1">
      <alignment horizontal="center"/>
    </xf>
    <xf numFmtId="165" fontId="8" fillId="0" borderId="0" xfId="1" applyNumberFormat="1" applyFont="1" applyAlignment="1">
      <alignment horizontal="center"/>
    </xf>
    <xf numFmtId="9" fontId="8" fillId="0" borderId="0" xfId="1" applyNumberFormat="1" applyFont="1" applyAlignment="1">
      <alignment horizontal="center"/>
    </xf>
    <xf numFmtId="9" fontId="3" fillId="0" borderId="0" xfId="1" applyNumberFormat="1" applyAlignment="1">
      <alignment horizontal="center"/>
    </xf>
    <xf numFmtId="165" fontId="13" fillId="0" borderId="0" xfId="2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3" fillId="0" borderId="0" xfId="1" applyFont="1" applyAlignment="1">
      <alignment horizontal="center"/>
    </xf>
    <xf numFmtId="4" fontId="10" fillId="0" borderId="0" xfId="1" applyNumberFormat="1" applyFont="1"/>
    <xf numFmtId="165" fontId="10" fillId="0" borderId="0" xfId="1" applyNumberFormat="1" applyFont="1"/>
    <xf numFmtId="0" fontId="10" fillId="0" borderId="0" xfId="1" applyFont="1"/>
    <xf numFmtId="2" fontId="10" fillId="0" borderId="0" xfId="1" applyNumberFormat="1" applyFont="1"/>
    <xf numFmtId="4" fontId="4" fillId="0" borderId="0" xfId="3" applyNumberFormat="1" applyFont="1" applyBorder="1" applyAlignment="1">
      <alignment horizontal="center"/>
    </xf>
    <xf numFmtId="165" fontId="4" fillId="0" borderId="0" xfId="3" applyNumberFormat="1" applyFont="1" applyBorder="1" applyAlignment="1">
      <alignment horizontal="center"/>
    </xf>
    <xf numFmtId="164" fontId="4" fillId="0" borderId="0" xfId="3" applyNumberFormat="1" applyFont="1" applyAlignment="1">
      <alignment horizontal="center"/>
    </xf>
    <xf numFmtId="2" fontId="4" fillId="0" borderId="0" xfId="3" applyNumberFormat="1" applyFont="1" applyBorder="1" applyAlignment="1">
      <alignment horizontal="center"/>
    </xf>
    <xf numFmtId="165" fontId="4" fillId="0" borderId="0" xfId="3" applyNumberFormat="1" applyFont="1" applyAlignment="1">
      <alignment horizontal="center"/>
    </xf>
    <xf numFmtId="10" fontId="3" fillId="0" borderId="0" xfId="1" applyNumberFormat="1"/>
    <xf numFmtId="0" fontId="3" fillId="0" borderId="0" xfId="1" applyFill="1" applyAlignment="1">
      <alignment horizontal="center"/>
    </xf>
    <xf numFmtId="0" fontId="0" fillId="0" borderId="0" xfId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164" fontId="3" fillId="0" borderId="0" xfId="1" applyNumberFormat="1" applyFill="1" applyAlignment="1">
      <alignment horizontal="center"/>
    </xf>
    <xf numFmtId="2" fontId="3" fillId="0" borderId="0" xfId="1" applyNumberFormat="1" applyFill="1" applyAlignment="1">
      <alignment horizontal="center"/>
    </xf>
    <xf numFmtId="2" fontId="9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2" fontId="3" fillId="0" borderId="0" xfId="1" applyNumberFormat="1" applyFill="1"/>
    <xf numFmtId="0" fontId="4" fillId="0" borderId="0" xfId="1" applyFont="1" applyFill="1" applyAlignment="1">
      <alignment horizontal="center"/>
    </xf>
    <xf numFmtId="165" fontId="9" fillId="0" borderId="0" xfId="1" applyNumberFormat="1" applyFont="1" applyFill="1" applyAlignment="1">
      <alignment horizontal="center"/>
    </xf>
    <xf numFmtId="164" fontId="9" fillId="0" borderId="0" xfId="1" applyNumberFormat="1" applyFont="1" applyFill="1" applyAlignment="1">
      <alignment horizontal="center"/>
    </xf>
    <xf numFmtId="167" fontId="9" fillId="0" borderId="0" xfId="1" applyNumberFormat="1" applyFont="1" applyAlignment="1">
      <alignment horizontal="center"/>
    </xf>
    <xf numFmtId="1" fontId="9" fillId="0" borderId="0" xfId="1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3" fillId="0" borderId="0" xfId="1" applyFont="1"/>
    <xf numFmtId="164" fontId="3" fillId="0" borderId="0" xfId="0" applyNumberFormat="1" applyFont="1" applyFill="1"/>
    <xf numFmtId="0" fontId="3" fillId="0" borderId="0" xfId="1" applyFont="1" applyFill="1"/>
    <xf numFmtId="164" fontId="3" fillId="0" borderId="0" xfId="1" applyNumberFormat="1" applyFont="1"/>
    <xf numFmtId="0" fontId="3" fillId="0" borderId="0" xfId="0" applyFont="1" applyAlignment="1">
      <alignment horizontal="right"/>
    </xf>
    <xf numFmtId="168" fontId="9" fillId="0" borderId="0" xfId="1" applyNumberFormat="1" applyFont="1" applyAlignment="1">
      <alignment horizontal="center"/>
    </xf>
    <xf numFmtId="169" fontId="4" fillId="0" borderId="0" xfId="2" applyNumberFormat="1" applyFont="1" applyBorder="1" applyAlignment="1">
      <alignment horizontal="center"/>
    </xf>
    <xf numFmtId="171" fontId="9" fillId="0" borderId="0" xfId="1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132"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Normal" xfId="0" builtinId="0"/>
    <cellStyle name="Normal 2" xfId="1"/>
    <cellStyle name="Normal 3" xfId="3"/>
    <cellStyle name="Normal 3 2" xfId="4"/>
    <cellStyle name="Normal 3 3" xfId="5"/>
    <cellStyle name="Normal 3 3 2" xfId="2"/>
    <cellStyle name="Normal 3 4" xfId="6"/>
    <cellStyle name="Percent 2" xfId="7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R69"/>
  <sheetViews>
    <sheetView tabSelected="1" zoomScale="125" zoomScaleNormal="125" zoomScalePageLayoutView="125" workbookViewId="0">
      <pane xSplit="2" ySplit="5" topLeftCell="AG6" activePane="bottomRight" state="frozen"/>
      <selection pane="topRight" activeCell="C1" sqref="C1"/>
      <selection pane="bottomLeft" activeCell="A6" sqref="A6"/>
      <selection pane="bottomRight" activeCell="V16" sqref="V16"/>
    </sheetView>
  </sheetViews>
  <sheetFormatPr baseColWidth="10" defaultColWidth="11.5" defaultRowHeight="12" x14ac:dyDescent="0"/>
  <cols>
    <col min="1" max="2" width="11.5" style="12" customWidth="1"/>
    <col min="3" max="3" width="9.1640625" style="16" customWidth="1"/>
    <col min="4" max="4" width="13.33203125" style="18" customWidth="1"/>
    <col min="5" max="6" width="13.33203125" style="19" customWidth="1"/>
    <col min="7" max="7" width="10.6640625" style="90" customWidth="1"/>
    <col min="8" max="8" width="12.6640625" style="91" customWidth="1"/>
    <col min="9" max="9" width="10.6640625" style="92" customWidth="1"/>
    <col min="10" max="10" width="11.5" style="12" customWidth="1"/>
    <col min="11" max="11" width="4.6640625" style="12" customWidth="1"/>
    <col min="12" max="12" width="9.1640625" style="93" customWidth="1"/>
    <col min="13" max="13" width="13.5" style="91" customWidth="1"/>
    <col min="14" max="14" width="9.1640625" style="92" customWidth="1"/>
    <col min="15" max="15" width="11.5" style="12" customWidth="1"/>
    <col min="16" max="16" width="4.6640625" style="12" customWidth="1"/>
    <col min="17" max="17" width="10.6640625" style="12" customWidth="1"/>
    <col min="18" max="18" width="3.83203125" style="12" customWidth="1"/>
    <col min="19" max="19" width="11.5" style="21"/>
    <col min="20" max="20" width="13.83203125" style="22" customWidth="1"/>
    <col min="21" max="21" width="11.5" style="23"/>
    <col min="22" max="32" width="11.5" style="12"/>
    <col min="33" max="33" width="14.6640625" style="12" customWidth="1"/>
    <col min="34" max="34" width="11.5" style="12"/>
    <col min="35" max="35" width="12" style="12" bestFit="1" customWidth="1"/>
    <col min="36" max="37" width="11.5" style="12"/>
    <col min="38" max="38" width="16.6640625" style="12" bestFit="1" customWidth="1"/>
    <col min="39" max="40" width="11.5" style="12"/>
    <col min="41" max="41" width="15.6640625" style="12" bestFit="1" customWidth="1"/>
    <col min="42" max="16384" width="11.5" style="12"/>
  </cols>
  <sheetData>
    <row r="1" spans="1:41">
      <c r="A1" s="1"/>
      <c r="B1" s="1" t="s">
        <v>0</v>
      </c>
      <c r="C1" s="2" t="s">
        <v>1</v>
      </c>
      <c r="D1" s="3" t="s">
        <v>2</v>
      </c>
      <c r="E1" s="4" t="s">
        <v>2</v>
      </c>
      <c r="F1" s="4" t="s">
        <v>3</v>
      </c>
      <c r="G1" s="5" t="s">
        <v>4</v>
      </c>
      <c r="H1" s="6" t="s">
        <v>4</v>
      </c>
      <c r="I1" s="7" t="s">
        <v>4</v>
      </c>
      <c r="J1" s="8" t="s">
        <v>5</v>
      </c>
      <c r="K1" s="8"/>
      <c r="L1" s="10" t="s">
        <v>4</v>
      </c>
      <c r="M1" s="6" t="s">
        <v>4</v>
      </c>
      <c r="N1" s="7" t="s">
        <v>4</v>
      </c>
      <c r="O1" s="8" t="s">
        <v>5</v>
      </c>
      <c r="P1" s="8"/>
      <c r="Q1" s="9"/>
      <c r="R1" s="1"/>
      <c r="S1" s="10" t="s">
        <v>4</v>
      </c>
      <c r="T1" s="11" t="s">
        <v>4</v>
      </c>
      <c r="U1" s="7" t="s">
        <v>4</v>
      </c>
      <c r="V1" s="8" t="s">
        <v>5</v>
      </c>
      <c r="AA1" s="4" t="s">
        <v>3</v>
      </c>
      <c r="AB1" s="5" t="s">
        <v>4</v>
      </c>
      <c r="AC1" s="6" t="s">
        <v>4</v>
      </c>
      <c r="AD1" s="7" t="s">
        <v>4</v>
      </c>
      <c r="AE1" s="8" t="s">
        <v>5</v>
      </c>
      <c r="AF1" s="8"/>
      <c r="AG1" s="4" t="s">
        <v>3</v>
      </c>
      <c r="AH1" s="5" t="s">
        <v>4</v>
      </c>
      <c r="AI1" s="6" t="s">
        <v>4</v>
      </c>
      <c r="AJ1" s="7" t="s">
        <v>4</v>
      </c>
      <c r="AK1" s="8" t="s">
        <v>5</v>
      </c>
      <c r="AL1" s="8"/>
      <c r="AM1" s="8"/>
      <c r="AN1" s="8"/>
    </row>
    <row r="2" spans="1:41">
      <c r="A2" s="1" t="s">
        <v>6</v>
      </c>
      <c r="B2" s="1" t="s">
        <v>7</v>
      </c>
      <c r="C2" s="13" t="s">
        <v>8</v>
      </c>
      <c r="D2" s="14" t="s">
        <v>9</v>
      </c>
      <c r="E2" s="15" t="s">
        <v>9</v>
      </c>
      <c r="F2" s="15" t="s">
        <v>10</v>
      </c>
      <c r="G2" s="5" t="s">
        <v>11</v>
      </c>
      <c r="H2" s="6" t="s">
        <v>11</v>
      </c>
      <c r="I2" s="7" t="s">
        <v>11</v>
      </c>
      <c r="J2" s="8" t="s">
        <v>11</v>
      </c>
      <c r="K2" s="8"/>
      <c r="L2" s="10" t="s">
        <v>12</v>
      </c>
      <c r="M2" s="6" t="s">
        <v>12</v>
      </c>
      <c r="N2" s="7" t="s">
        <v>12</v>
      </c>
      <c r="O2" s="8" t="s">
        <v>12</v>
      </c>
      <c r="P2" s="8"/>
      <c r="Q2" s="9"/>
      <c r="R2" s="1"/>
      <c r="S2" s="10" t="s">
        <v>13</v>
      </c>
      <c r="T2" s="11" t="s">
        <v>13</v>
      </c>
      <c r="U2" s="7" t="s">
        <v>13</v>
      </c>
      <c r="V2" s="8" t="s">
        <v>13</v>
      </c>
      <c r="AA2" s="15"/>
      <c r="AB2" s="5" t="s">
        <v>14</v>
      </c>
      <c r="AC2" s="6" t="s">
        <v>14</v>
      </c>
      <c r="AD2" s="7" t="s">
        <v>14</v>
      </c>
      <c r="AE2" s="8" t="s">
        <v>14</v>
      </c>
      <c r="AF2" s="8"/>
      <c r="AG2" s="15"/>
      <c r="AH2" s="5" t="s">
        <v>15</v>
      </c>
      <c r="AI2" s="5" t="s">
        <v>15</v>
      </c>
      <c r="AJ2" s="5" t="s">
        <v>15</v>
      </c>
      <c r="AK2" s="8" t="s">
        <v>15</v>
      </c>
      <c r="AL2" s="8"/>
      <c r="AM2" s="8"/>
      <c r="AN2" s="8"/>
    </row>
    <row r="3" spans="1:41">
      <c r="D3" s="14" t="s">
        <v>16</v>
      </c>
      <c r="E3" s="15" t="s">
        <v>17</v>
      </c>
      <c r="F3" s="15" t="s">
        <v>17</v>
      </c>
      <c r="G3" s="5" t="s">
        <v>18</v>
      </c>
      <c r="H3" s="6" t="s">
        <v>19</v>
      </c>
      <c r="I3" s="7" t="s">
        <v>20</v>
      </c>
      <c r="J3" s="8"/>
      <c r="K3" s="8"/>
      <c r="L3" s="10" t="s">
        <v>18</v>
      </c>
      <c r="M3" s="6" t="s">
        <v>19</v>
      </c>
      <c r="N3" s="7" t="s">
        <v>20</v>
      </c>
      <c r="O3" s="8"/>
      <c r="P3" s="8"/>
      <c r="Q3" s="1" t="s">
        <v>21</v>
      </c>
      <c r="R3" s="1"/>
      <c r="S3" s="10" t="s">
        <v>18</v>
      </c>
      <c r="T3" s="11" t="s">
        <v>19</v>
      </c>
      <c r="U3" s="7" t="s">
        <v>20</v>
      </c>
      <c r="V3" s="8"/>
      <c r="X3" s="1" t="s">
        <v>22</v>
      </c>
      <c r="Y3" s="1" t="s">
        <v>23</v>
      </c>
      <c r="AA3" s="15" t="s">
        <v>17</v>
      </c>
      <c r="AB3" s="5" t="s">
        <v>18</v>
      </c>
      <c r="AC3" s="6" t="s">
        <v>19</v>
      </c>
      <c r="AD3" s="7" t="s">
        <v>20</v>
      </c>
      <c r="AE3" s="8"/>
      <c r="AF3" s="8"/>
      <c r="AG3" s="15" t="s">
        <v>17</v>
      </c>
      <c r="AH3" s="5" t="s">
        <v>18</v>
      </c>
      <c r="AI3" s="6" t="s">
        <v>19</v>
      </c>
      <c r="AJ3" s="7" t="s">
        <v>20</v>
      </c>
      <c r="AK3" s="8"/>
      <c r="AL3" s="8"/>
      <c r="AM3" s="8"/>
      <c r="AN3" s="8"/>
    </row>
    <row r="4" spans="1:41" ht="17">
      <c r="A4" s="17" t="s">
        <v>24</v>
      </c>
      <c r="G4" s="5"/>
      <c r="H4" s="6"/>
      <c r="I4" s="20"/>
      <c r="J4" s="8"/>
      <c r="K4" s="8"/>
      <c r="L4" s="10"/>
      <c r="M4" s="6"/>
      <c r="N4" s="20"/>
      <c r="O4" s="8"/>
      <c r="P4" s="8"/>
      <c r="Q4" s="1"/>
      <c r="R4" s="1"/>
    </row>
    <row r="5" spans="1:41">
      <c r="G5" s="5"/>
      <c r="H5" s="6"/>
      <c r="I5" s="20"/>
      <c r="J5" s="8"/>
      <c r="K5" s="8"/>
      <c r="L5" s="10"/>
      <c r="M5" s="6"/>
      <c r="N5" s="20"/>
      <c r="O5" s="8"/>
      <c r="P5" s="8"/>
      <c r="Q5" s="1"/>
      <c r="R5" s="1"/>
      <c r="U5" s="24"/>
      <c r="V5" s="25"/>
    </row>
    <row r="6" spans="1:41">
      <c r="G6" s="5"/>
      <c r="H6" s="6"/>
      <c r="I6" s="20"/>
      <c r="J6" s="8"/>
      <c r="K6" s="8"/>
      <c r="L6" s="10"/>
      <c r="M6" s="6"/>
      <c r="N6" s="20"/>
      <c r="O6" s="8"/>
      <c r="P6" s="8"/>
      <c r="Q6" s="1"/>
      <c r="R6" s="1"/>
      <c r="U6" s="24"/>
      <c r="V6" s="25"/>
    </row>
    <row r="7" spans="1:41" ht="17">
      <c r="A7" s="26" t="s">
        <v>25</v>
      </c>
      <c r="B7" s="27" t="s">
        <v>26</v>
      </c>
      <c r="C7" s="28">
        <v>14.92</v>
      </c>
      <c r="D7" s="29">
        <v>113.8366</v>
      </c>
      <c r="E7" s="19">
        <f>D7*1000</f>
        <v>113836.6</v>
      </c>
      <c r="G7" s="30"/>
      <c r="H7" s="31"/>
      <c r="I7" s="4"/>
      <c r="J7" s="32"/>
      <c r="K7" s="33"/>
      <c r="L7" s="35"/>
      <c r="M7" s="36"/>
      <c r="N7" s="4"/>
      <c r="O7" s="19"/>
      <c r="P7" s="33"/>
      <c r="Q7" s="34"/>
      <c r="R7" s="1"/>
      <c r="S7" s="37"/>
      <c r="T7" s="38"/>
      <c r="U7" s="24"/>
      <c r="V7" s="25"/>
    </row>
    <row r="8" spans="1:41" ht="14">
      <c r="A8" s="18"/>
      <c r="B8" s="39"/>
      <c r="C8" s="28"/>
      <c r="D8" s="40"/>
      <c r="G8" s="30"/>
      <c r="H8" s="31"/>
      <c r="I8" s="4"/>
      <c r="J8" s="32"/>
      <c r="K8" s="33"/>
      <c r="L8" s="35"/>
      <c r="M8" s="36"/>
      <c r="N8" s="4"/>
      <c r="O8" s="19"/>
      <c r="P8" s="33"/>
      <c r="Q8" s="34"/>
      <c r="R8" s="1"/>
      <c r="S8" s="37"/>
      <c r="T8" s="38"/>
      <c r="U8" s="24"/>
      <c r="V8" s="25"/>
    </row>
    <row r="9" spans="1:41" ht="14">
      <c r="A9" s="18"/>
      <c r="B9" s="39"/>
      <c r="C9" s="28"/>
      <c r="D9" s="40"/>
      <c r="F9" s="41">
        <v>943.9</v>
      </c>
      <c r="G9" s="42">
        <v>4.9395675988338201</v>
      </c>
      <c r="H9" s="31">
        <f t="shared" ref="H9:H14" si="0">G9/F9</f>
        <v>5.2331471541835154E-3</v>
      </c>
      <c r="I9" s="4">
        <f>H9*E7</f>
        <v>595.7236793319272</v>
      </c>
      <c r="J9" s="37">
        <f t="shared" ref="J9:J14" si="1">I9/1000/(0.5)/(C$7)</f>
        <v>7.9855721090070664E-2</v>
      </c>
      <c r="K9" s="33"/>
      <c r="L9" s="21">
        <v>94.666399575092939</v>
      </c>
      <c r="M9" s="36">
        <f t="shared" ref="M9:M14" si="2">L9/F9</f>
        <v>0.10029282717988446</v>
      </c>
      <c r="N9" s="4">
        <f t="shared" ref="N9:N14" si="3">M9*E$7</f>
        <v>11416.994450545635</v>
      </c>
      <c r="O9" s="37">
        <f t="shared" ref="O9:O14" si="4">N9/1000/(0.5)/C$7</f>
        <v>1.5304282105289055</v>
      </c>
      <c r="P9" s="34">
        <f t="shared" ref="P9:P14" si="5">(N9/1000)*2/$C$7</f>
        <v>1.5304282105289055</v>
      </c>
      <c r="Q9" s="34">
        <f t="shared" ref="Q9:Q14" si="6">(M9/12.011)/(H9/14.0067)</f>
        <v>22.349282582415032</v>
      </c>
      <c r="R9" s="1"/>
      <c r="S9" s="21">
        <v>10.268213470258265</v>
      </c>
      <c r="T9" s="38">
        <f t="shared" ref="T9:T14" si="7">S9/F9</f>
        <v>1.0878497160989794E-2</v>
      </c>
      <c r="U9" s="24">
        <f t="shared" ref="U9:U14" si="8">T9*E$7</f>
        <v>1238.3711299167308</v>
      </c>
      <c r="V9" s="37">
        <f t="shared" ref="V9:V14" si="9">U9/1000/(0.5)/C$7</f>
        <v>0.16600149194594246</v>
      </c>
      <c r="X9" s="37">
        <f t="shared" ref="X9:X14" si="10">(T9/1.00794)/(M9/12.011)</f>
        <v>1.2925385812549577</v>
      </c>
      <c r="Y9" s="37">
        <f t="shared" ref="Y9:Y14" si="11">(M9/12.011)/(T9/1.00794)</f>
        <v>0.77367129654967459</v>
      </c>
      <c r="AA9" s="45">
        <v>168.6</v>
      </c>
      <c r="AB9" s="32">
        <v>9.208618887581391</v>
      </c>
      <c r="AC9" s="31">
        <f t="shared" ref="AC9:AC11" si="12">AB9/AA9</f>
        <v>5.4618142868217028E-2</v>
      </c>
      <c r="AD9" s="4">
        <f>AC9*$E$7</f>
        <v>6217.543682432075</v>
      </c>
      <c r="AE9" s="44">
        <f>AD9/1000/(0.5)/(C$7)</f>
        <v>0.83345089576837472</v>
      </c>
      <c r="AF9" s="44"/>
      <c r="AG9" s="45">
        <v>5566.2</v>
      </c>
      <c r="AH9" s="32">
        <v>9.8610387891994531</v>
      </c>
      <c r="AI9" s="31">
        <f t="shared" ref="AI9:AI11" si="13">AH9/AG9</f>
        <v>1.7715926106139652E-3</v>
      </c>
      <c r="AJ9" s="4">
        <f>AI9*$E$7</f>
        <v>201.67207937741773</v>
      </c>
      <c r="AK9" s="44">
        <f>AJ9/1000/(0.5)/C$7</f>
        <v>2.7033790801262433E-2</v>
      </c>
      <c r="AL9" s="44"/>
      <c r="AM9" s="44"/>
      <c r="AN9" s="44"/>
    </row>
    <row r="10" spans="1:41" ht="14">
      <c r="A10" s="18"/>
      <c r="B10" s="39"/>
      <c r="C10" s="28"/>
      <c r="D10" s="40"/>
      <c r="F10" s="41">
        <v>1048</v>
      </c>
      <c r="G10" s="42">
        <v>5.3347330067405263</v>
      </c>
      <c r="H10" s="31">
        <f t="shared" si="0"/>
        <v>5.0903940904012653E-3</v>
      </c>
      <c r="I10" s="4">
        <f>H10*E7</f>
        <v>579.47315591137271</v>
      </c>
      <c r="J10" s="37">
        <f t="shared" si="1"/>
        <v>7.7677366744151835E-2</v>
      </c>
      <c r="K10" s="33"/>
      <c r="L10" s="21">
        <v>104.53958235286336</v>
      </c>
      <c r="M10" s="36">
        <f t="shared" si="2"/>
        <v>9.9751509878686417E-2</v>
      </c>
      <c r="N10" s="4">
        <f t="shared" si="3"/>
        <v>11355.372729456074</v>
      </c>
      <c r="O10" s="37">
        <f t="shared" si="4"/>
        <v>1.5221679262005461</v>
      </c>
      <c r="P10" s="34">
        <f t="shared" si="5"/>
        <v>1.5221679262005461</v>
      </c>
      <c r="Q10" s="34">
        <f t="shared" si="6"/>
        <v>22.852027180383473</v>
      </c>
      <c r="R10" s="1"/>
      <c r="S10" s="21">
        <v>11.653228310432636</v>
      </c>
      <c r="T10" s="38">
        <f t="shared" si="7"/>
        <v>1.1119492662626561E-2</v>
      </c>
      <c r="U10" s="24">
        <f t="shared" si="8"/>
        <v>1265.8052384383548</v>
      </c>
      <c r="V10" s="37">
        <f t="shared" si="9"/>
        <v>0.16967898638583842</v>
      </c>
      <c r="X10" s="37">
        <f t="shared" si="10"/>
        <v>1.3283422339450173</v>
      </c>
      <c r="Y10" s="37">
        <f t="shared" si="11"/>
        <v>0.75281804225265037</v>
      </c>
      <c r="AA10" s="45">
        <v>248.3</v>
      </c>
      <c r="AB10" s="32">
        <v>14.217968702284104</v>
      </c>
      <c r="AC10" s="31">
        <f t="shared" si="12"/>
        <v>5.726125131809949E-2</v>
      </c>
      <c r="AD10" s="4">
        <f t="shared" ref="AD10:AD11" si="14">AC10*$E$7</f>
        <v>6518.4261617979646</v>
      </c>
      <c r="AE10" s="44">
        <f>AD10/1000/(0.5)/(C$7)</f>
        <v>0.87378366780133565</v>
      </c>
      <c r="AF10" s="44"/>
      <c r="AG10" s="45">
        <v>4738.3</v>
      </c>
      <c r="AH10" s="32">
        <v>9.2781202400842151</v>
      </c>
      <c r="AI10" s="31">
        <f t="shared" si="13"/>
        <v>1.9581116096668034E-3</v>
      </c>
      <c r="AJ10" s="4">
        <f t="shared" ref="AJ10:AJ11" si="15">AI10*$E$7</f>
        <v>222.90476806499603</v>
      </c>
      <c r="AK10" s="44">
        <f>AJ10/1000/(0.5)/C$7</f>
        <v>2.987999571916837E-2</v>
      </c>
      <c r="AL10" s="25" t="s">
        <v>28</v>
      </c>
      <c r="AM10" s="25" t="s">
        <v>37</v>
      </c>
      <c r="AN10" s="25" t="s">
        <v>38</v>
      </c>
      <c r="AO10" s="25" t="s">
        <v>39</v>
      </c>
    </row>
    <row r="11" spans="1:41" ht="14">
      <c r="A11" s="18"/>
      <c r="B11" s="39"/>
      <c r="C11" s="28"/>
      <c r="D11" s="40"/>
      <c r="F11" s="41">
        <v>1784.8</v>
      </c>
      <c r="G11" s="42">
        <v>9.2863870858075828</v>
      </c>
      <c r="H11" s="31">
        <f t="shared" si="0"/>
        <v>5.2030407249033968E-3</v>
      </c>
      <c r="I11" s="4">
        <f>H11*E7</f>
        <v>592.2964657845381</v>
      </c>
      <c r="J11" s="37">
        <f t="shared" si="1"/>
        <v>7.9396309086399205E-2</v>
      </c>
      <c r="K11" s="33"/>
      <c r="L11" s="21">
        <v>177.57209613548875</v>
      </c>
      <c r="M11" s="36">
        <f t="shared" si="2"/>
        <v>9.949131338832852E-2</v>
      </c>
      <c r="N11" s="4">
        <f t="shared" si="3"/>
        <v>11325.752845661798</v>
      </c>
      <c r="O11" s="37">
        <f t="shared" si="4"/>
        <v>1.5181974323943428</v>
      </c>
      <c r="P11" s="34">
        <f t="shared" si="5"/>
        <v>1.5181974323943428</v>
      </c>
      <c r="Q11" s="34">
        <f t="shared" si="6"/>
        <v>22.298959501283765</v>
      </c>
      <c r="R11" s="1"/>
      <c r="S11" s="21">
        <v>19.581244292120413</v>
      </c>
      <c r="T11" s="38">
        <f t="shared" si="7"/>
        <v>1.097111401396258E-2</v>
      </c>
      <c r="U11" s="24">
        <f t="shared" si="8"/>
        <v>1248.9143175618526</v>
      </c>
      <c r="V11" s="37">
        <f t="shared" si="9"/>
        <v>0.16741478787692396</v>
      </c>
      <c r="X11" s="37">
        <f t="shared" si="10"/>
        <v>1.3140444334027084</v>
      </c>
      <c r="Y11" s="37">
        <f t="shared" si="11"/>
        <v>0.76100927379640226</v>
      </c>
      <c r="AA11" s="45">
        <v>204</v>
      </c>
      <c r="AB11" s="32">
        <v>11.521417679826957</v>
      </c>
      <c r="AC11" s="31">
        <f t="shared" si="12"/>
        <v>5.6477537646210572E-2</v>
      </c>
      <c r="AD11" s="4">
        <f t="shared" si="14"/>
        <v>6429.2108620166146</v>
      </c>
      <c r="AE11" s="44">
        <f>AD11/1000/(0.5)/(C$7)</f>
        <v>0.86182451233466684</v>
      </c>
      <c r="AF11" s="44"/>
      <c r="AG11" s="45">
        <v>6173.9</v>
      </c>
      <c r="AH11" s="32">
        <v>10.152498063757072</v>
      </c>
      <c r="AI11" s="31">
        <f t="shared" si="13"/>
        <v>1.6444221745990496E-3</v>
      </c>
      <c r="AJ11" s="4">
        <f t="shared" si="15"/>
        <v>187.19542932096218</v>
      </c>
      <c r="AK11" s="44">
        <f>AJ11/1000/(0.5)/C$7</f>
        <v>2.5093221088600827E-2</v>
      </c>
      <c r="AL11" s="25" t="s">
        <v>30</v>
      </c>
      <c r="AO11" s="25" t="s">
        <v>30</v>
      </c>
    </row>
    <row r="12" spans="1:41" ht="14">
      <c r="A12" s="18"/>
      <c r="B12" s="39"/>
      <c r="C12" s="28"/>
      <c r="D12" s="40"/>
      <c r="F12" s="41">
        <v>2022.8</v>
      </c>
      <c r="G12" s="32">
        <v>11.192345178925811</v>
      </c>
      <c r="H12" s="31">
        <f t="shared" si="0"/>
        <v>5.5330953030086069E-3</v>
      </c>
      <c r="I12" s="4">
        <f>H12*E7</f>
        <v>629.86875677046964</v>
      </c>
      <c r="J12" s="37">
        <f t="shared" si="1"/>
        <v>8.4432809218561611E-2</v>
      </c>
      <c r="K12" s="33"/>
      <c r="L12" s="21">
        <v>207.48829413640939</v>
      </c>
      <c r="M12" s="36">
        <f t="shared" si="2"/>
        <v>0.10257479441190893</v>
      </c>
      <c r="N12" s="4">
        <f t="shared" si="3"/>
        <v>11676.765841550714</v>
      </c>
      <c r="O12" s="37">
        <f t="shared" si="4"/>
        <v>1.5652501128084066</v>
      </c>
      <c r="P12" s="34">
        <f t="shared" si="5"/>
        <v>1.5652501128084066</v>
      </c>
      <c r="Q12" s="34">
        <f t="shared" si="6"/>
        <v>21.618679568478097</v>
      </c>
      <c r="R12" s="1"/>
      <c r="S12" s="21">
        <v>23.317245421997022</v>
      </c>
      <c r="T12" s="38">
        <f t="shared" si="7"/>
        <v>1.152721248862815E-2</v>
      </c>
      <c r="U12" s="24">
        <f t="shared" si="8"/>
        <v>1312.2186771829674</v>
      </c>
      <c r="V12" s="37">
        <f t="shared" si="9"/>
        <v>0.1759006269682262</v>
      </c>
      <c r="X12" s="37">
        <f t="shared" si="10"/>
        <v>1.339146622074614</v>
      </c>
      <c r="Y12" s="37">
        <f t="shared" si="11"/>
        <v>0.74674422017418374</v>
      </c>
      <c r="AA12" s="47"/>
      <c r="AB12" s="46"/>
      <c r="AC12" s="31"/>
      <c r="AD12" s="4"/>
      <c r="AE12" s="44"/>
      <c r="AF12" s="44"/>
      <c r="AG12" s="47"/>
      <c r="AH12" s="46"/>
      <c r="AI12" s="31"/>
      <c r="AJ12" s="4"/>
      <c r="AK12" s="44"/>
    </row>
    <row r="13" spans="1:41" s="47" customFormat="1" ht="14">
      <c r="A13" s="48"/>
      <c r="B13" s="49"/>
      <c r="C13" s="50"/>
      <c r="D13" s="51"/>
      <c r="E13" s="52"/>
      <c r="F13" s="53">
        <v>1865.6</v>
      </c>
      <c r="G13" s="54">
        <v>8.8034651802618029</v>
      </c>
      <c r="H13" s="55">
        <f t="shared" si="0"/>
        <v>4.7188385400202633E-3</v>
      </c>
      <c r="I13" s="56">
        <f>H13*E7</f>
        <v>537.17653534487067</v>
      </c>
      <c r="J13" s="57">
        <f t="shared" si="1"/>
        <v>7.2007578464459876E-2</v>
      </c>
      <c r="K13" s="58"/>
      <c r="L13" s="60">
        <v>185.52921059685795</v>
      </c>
      <c r="M13" s="61">
        <f t="shared" si="2"/>
        <v>9.944747566298133E-2</v>
      </c>
      <c r="N13" s="56">
        <f t="shared" si="3"/>
        <v>11320.762508056541</v>
      </c>
      <c r="O13" s="57">
        <f t="shared" si="4"/>
        <v>1.517528486334657</v>
      </c>
      <c r="P13" s="59">
        <f t="shared" si="5"/>
        <v>1.517528486334657</v>
      </c>
      <c r="Q13" s="59">
        <f t="shared" si="6"/>
        <v>24.576232434555063</v>
      </c>
      <c r="R13" s="62"/>
      <c r="S13" s="60">
        <v>20.535256830269102</v>
      </c>
      <c r="T13" s="63">
        <f t="shared" si="7"/>
        <v>1.1007320342125376E-2</v>
      </c>
      <c r="U13" s="64">
        <f t="shared" si="8"/>
        <v>1253.0359228583895</v>
      </c>
      <c r="V13" s="57">
        <f t="shared" si="9"/>
        <v>0.16796728188450263</v>
      </c>
      <c r="W13" s="65"/>
      <c r="X13" s="57">
        <f t="shared" si="10"/>
        <v>1.3189621371667055</v>
      </c>
      <c r="Y13" s="57">
        <f t="shared" si="11"/>
        <v>0.75817187758560234</v>
      </c>
      <c r="AB13" s="67"/>
      <c r="AC13" s="68">
        <f>AVERAGE(AC9:AC11)</f>
        <v>5.611897727750903E-2</v>
      </c>
      <c r="AD13" s="71"/>
      <c r="AE13" s="70"/>
      <c r="AF13" s="70"/>
      <c r="AG13" s="45"/>
      <c r="AH13" s="67"/>
      <c r="AI13" s="68"/>
      <c r="AJ13" s="69"/>
      <c r="AK13" s="70"/>
      <c r="AL13" s="12"/>
      <c r="AM13" s="12"/>
      <c r="AN13" s="12"/>
      <c r="AO13" s="12"/>
    </row>
    <row r="14" spans="1:41" ht="14">
      <c r="A14" s="18"/>
      <c r="B14" s="39"/>
      <c r="C14" s="28"/>
      <c r="D14" s="40"/>
      <c r="F14" s="41">
        <v>2016.3</v>
      </c>
      <c r="G14" s="32">
        <v>10.79419851248181</v>
      </c>
      <c r="H14" s="31">
        <f t="shared" si="0"/>
        <v>5.3534684880631898E-3</v>
      </c>
      <c r="I14" s="4">
        <f>H14*E7</f>
        <v>609.42065088825416</v>
      </c>
      <c r="J14" s="37">
        <f t="shared" si="1"/>
        <v>8.1691776258479107E-2</v>
      </c>
      <c r="K14" s="33"/>
      <c r="L14" s="21">
        <v>203.75573468266666</v>
      </c>
      <c r="M14" s="36">
        <f t="shared" si="2"/>
        <v>0.10105427500008266</v>
      </c>
      <c r="N14" s="4">
        <f t="shared" si="3"/>
        <v>11503.67508147441</v>
      </c>
      <c r="O14" s="37">
        <f t="shared" si="4"/>
        <v>1.5420475980528701</v>
      </c>
      <c r="P14" s="34">
        <f t="shared" si="5"/>
        <v>1.5420475980528701</v>
      </c>
      <c r="Q14" s="34">
        <f t="shared" si="6"/>
        <v>22.012841164412759</v>
      </c>
      <c r="R14" s="1"/>
      <c r="S14" s="21">
        <v>22.561445053146084</v>
      </c>
      <c r="T14" s="38">
        <f t="shared" si="7"/>
        <v>1.1189527874396709E-2</v>
      </c>
      <c r="U14" s="24">
        <f t="shared" si="8"/>
        <v>1273.7778088265484</v>
      </c>
      <c r="V14" s="37">
        <f t="shared" si="9"/>
        <v>0.17074769555315661</v>
      </c>
      <c r="X14" s="37">
        <f t="shared" si="10"/>
        <v>1.3194761918021465</v>
      </c>
      <c r="Y14" s="37">
        <f t="shared" si="11"/>
        <v>0.75787650145789709</v>
      </c>
      <c r="AA14" s="41"/>
      <c r="AB14" s="46"/>
      <c r="AC14" s="31"/>
      <c r="AD14" s="4"/>
      <c r="AE14" s="44"/>
      <c r="AF14" s="44"/>
      <c r="AG14" s="45"/>
      <c r="AH14" s="46"/>
      <c r="AI14" s="31"/>
      <c r="AJ14" s="4"/>
      <c r="AK14" s="44"/>
    </row>
    <row r="15" spans="1:41" ht="14">
      <c r="A15" s="18"/>
      <c r="B15" s="18"/>
      <c r="C15" s="28"/>
      <c r="D15" s="33"/>
      <c r="G15" s="72"/>
      <c r="H15" s="73"/>
      <c r="I15" s="8"/>
      <c r="J15" s="32"/>
      <c r="K15" s="33"/>
      <c r="L15" s="74"/>
      <c r="M15" s="75"/>
      <c r="N15" s="76"/>
      <c r="O15" s="32"/>
      <c r="P15" s="33"/>
      <c r="Q15" s="34"/>
      <c r="R15" s="1"/>
      <c r="S15" s="37"/>
      <c r="T15" s="38"/>
      <c r="U15" s="24"/>
      <c r="V15" s="32"/>
      <c r="AA15" s="41"/>
      <c r="AB15" s="32"/>
      <c r="AC15" s="31"/>
      <c r="AD15" s="4"/>
      <c r="AE15" s="37"/>
      <c r="AF15" s="37"/>
      <c r="AG15" s="45"/>
      <c r="AH15" s="32"/>
      <c r="AI15" s="31"/>
      <c r="AJ15" s="4"/>
      <c r="AK15" s="37"/>
    </row>
    <row r="16" spans="1:41">
      <c r="A16" s="18"/>
      <c r="B16" s="77" t="s">
        <v>27</v>
      </c>
      <c r="C16" s="78"/>
      <c r="D16" s="33"/>
      <c r="G16" s="79"/>
      <c r="H16" s="75"/>
      <c r="I16" s="76"/>
      <c r="J16" s="37">
        <f>AVERAGE(J9:J12,J14)</f>
        <v>8.0610796479532482E-2</v>
      </c>
      <c r="K16" s="24"/>
      <c r="L16" s="74"/>
      <c r="M16" s="75"/>
      <c r="N16" s="76"/>
      <c r="O16" s="38">
        <f>AVERAGE(O9:O12,O14)</f>
        <v>1.5356182559970144</v>
      </c>
      <c r="P16" s="19"/>
      <c r="Q16" s="37">
        <f>AVERAGE(Q9:Q12,Q14)</f>
        <v>22.226357999394626</v>
      </c>
      <c r="S16" s="37"/>
      <c r="T16" s="38"/>
      <c r="U16" s="24"/>
      <c r="V16" s="37">
        <f>AVERAGE(V9:V12,V14)</f>
        <v>0.16994871774601752</v>
      </c>
      <c r="X16" s="37">
        <f>AVERAGE(X9:X12,X14)</f>
        <v>1.3187096124958886</v>
      </c>
      <c r="Y16" s="37">
        <f>AVERAGE(Y9:Y12,Y14)</f>
        <v>0.7584238668461617</v>
      </c>
      <c r="AA16" s="41"/>
      <c r="AB16" s="32"/>
      <c r="AC16" s="31"/>
      <c r="AD16" s="4"/>
      <c r="AE16" s="38">
        <f>AVERAGE(AE9:AE11)</f>
        <v>0.85635302530145907</v>
      </c>
      <c r="AF16" s="37"/>
      <c r="AG16" s="41"/>
      <c r="AH16" s="32"/>
      <c r="AI16" s="38">
        <f>AVERAGE(AI9:AI11)</f>
        <v>1.7913754649599393E-3</v>
      </c>
      <c r="AJ16" s="4"/>
      <c r="AK16" s="38">
        <f>AVERAGE(AK9:AK11)</f>
        <v>2.7335669203010542E-2</v>
      </c>
      <c r="AL16" s="37">
        <f>O16-AE16</f>
        <v>0.67926523069555533</v>
      </c>
      <c r="AM16" s="111">
        <f>AE16/O16</f>
        <v>0.55766009680932316</v>
      </c>
      <c r="AN16" s="111">
        <f>AK16/O16</f>
        <v>1.780108376301023E-2</v>
      </c>
      <c r="AO16" s="37">
        <f>AL16-AK16</f>
        <v>0.65192956149254477</v>
      </c>
    </row>
    <row r="17" spans="1:44">
      <c r="A17" s="18"/>
      <c r="B17" s="77" t="s">
        <v>29</v>
      </c>
      <c r="C17" s="78"/>
      <c r="D17" s="33"/>
      <c r="G17" s="79"/>
      <c r="H17" s="75"/>
      <c r="I17" s="76"/>
      <c r="J17" s="46">
        <f>STDEV(J9:J12,J14)</f>
        <v>2.5703320380866352E-3</v>
      </c>
      <c r="K17" s="46"/>
      <c r="L17" s="75"/>
      <c r="M17" s="75"/>
      <c r="N17" s="75"/>
      <c r="O17" s="46">
        <f>STDEV(O9:O12,O14)</f>
        <v>1.8912406086695102E-2</v>
      </c>
      <c r="P17" s="46"/>
      <c r="Q17" s="46">
        <f>STDEV(Q9:Q12,Q14)</f>
        <v>0.45461683576623152</v>
      </c>
      <c r="R17" s="22"/>
      <c r="S17" s="38"/>
      <c r="T17" s="38"/>
      <c r="U17" s="38"/>
      <c r="V17" s="46">
        <f>STDEV(V9:V12,V14)</f>
        <v>3.8124052785164461E-3</v>
      </c>
      <c r="W17" s="22"/>
      <c r="X17" s="46">
        <f>STDEV(X9:X12,X14)</f>
        <v>1.7448016882450693E-2</v>
      </c>
      <c r="Y17" s="46">
        <f>STDEV(Y9:Y12,Y14)</f>
        <v>1.0090929916088655E-2</v>
      </c>
      <c r="AA17" s="19"/>
      <c r="AB17" s="72"/>
      <c r="AC17" s="73"/>
      <c r="AD17" s="8"/>
      <c r="AE17" s="46">
        <f>STDEV(AE9:AE11)</f>
        <v>2.0715598053921092E-2</v>
      </c>
      <c r="AF17" s="32"/>
      <c r="AG17" s="19"/>
      <c r="AH17" s="72"/>
      <c r="AI17" s="46">
        <f>STDEV(AI9:AI11)</f>
        <v>1.5777764864782702E-4</v>
      </c>
      <c r="AJ17" s="8"/>
      <c r="AK17" s="46">
        <f>STDEV(AK9:AK11)</f>
        <v>2.4076234689092801E-3</v>
      </c>
      <c r="AL17" s="25"/>
      <c r="AM17" s="32"/>
      <c r="AN17" s="32"/>
    </row>
    <row r="18" spans="1:44">
      <c r="A18" s="18"/>
      <c r="B18" s="77" t="s">
        <v>31</v>
      </c>
      <c r="C18" s="78"/>
      <c r="D18" s="33"/>
      <c r="G18" s="79"/>
      <c r="H18" s="75"/>
      <c r="I18" s="76"/>
      <c r="J18" s="80">
        <f>COUNT(J9:J14)</f>
        <v>6</v>
      </c>
      <c r="K18" s="80"/>
      <c r="L18" s="74"/>
      <c r="M18" s="75"/>
      <c r="N18" s="81"/>
      <c r="O18" s="80">
        <f>COUNT(O9:O12,O14)</f>
        <v>5</v>
      </c>
      <c r="P18" s="80"/>
      <c r="Q18" s="80">
        <f>COUNT(Q9:Q12,Q14)</f>
        <v>5</v>
      </c>
      <c r="S18" s="37"/>
      <c r="T18" s="38"/>
      <c r="U18" s="24"/>
      <c r="V18" s="80">
        <f>COUNT(V9:V14)</f>
        <v>6</v>
      </c>
      <c r="X18" s="80">
        <f>COUNT(X9:X14)</f>
        <v>6</v>
      </c>
      <c r="Y18" s="80">
        <f>COUNT(Y9:Y14)</f>
        <v>6</v>
      </c>
      <c r="AA18" s="19"/>
      <c r="AB18" s="79"/>
      <c r="AC18" s="75"/>
      <c r="AD18" s="76"/>
      <c r="AE18" s="112">
        <f>COUNT(AE9:AE11)</f>
        <v>3</v>
      </c>
      <c r="AF18" s="44"/>
      <c r="AG18" s="19"/>
      <c r="AH18" s="79"/>
      <c r="AI18" s="112">
        <f>COUNT(AI9:AI11)</f>
        <v>3</v>
      </c>
      <c r="AJ18" s="76"/>
      <c r="AK18" s="112">
        <f>COUNT(AK9:AK11)</f>
        <v>3</v>
      </c>
      <c r="AL18" s="37"/>
      <c r="AM18" s="44"/>
      <c r="AN18" s="44"/>
    </row>
    <row r="19" spans="1:44">
      <c r="A19" s="18"/>
      <c r="B19" s="77" t="s">
        <v>32</v>
      </c>
      <c r="C19" s="78"/>
      <c r="D19" s="33"/>
      <c r="G19" s="79"/>
      <c r="H19" s="75"/>
      <c r="I19" s="76"/>
      <c r="J19" s="82">
        <f>J17/J16</f>
        <v>3.1885704525190448E-2</v>
      </c>
      <c r="K19" s="82"/>
      <c r="L19" s="83"/>
      <c r="M19" s="84"/>
      <c r="N19" s="85"/>
      <c r="O19" s="82">
        <f>O17/O16</f>
        <v>1.2315825246826105E-2</v>
      </c>
      <c r="P19" s="86"/>
      <c r="Q19" s="82">
        <f>Q17/Q16</f>
        <v>2.0453950925230925E-2</v>
      </c>
      <c r="S19" s="37"/>
      <c r="T19" s="38"/>
      <c r="U19" s="24"/>
      <c r="V19" s="82">
        <f>V17/V16</f>
        <v>2.2432680452546597E-2</v>
      </c>
      <c r="X19" s="82">
        <f>X17/X16</f>
        <v>1.3231128913534852E-2</v>
      </c>
      <c r="Y19" s="82">
        <f>Y17/Y16</f>
        <v>1.3305132337212556E-2</v>
      </c>
      <c r="AA19" s="19"/>
      <c r="AB19" s="79"/>
      <c r="AC19" s="75"/>
      <c r="AD19" s="76"/>
      <c r="AE19" s="111">
        <f>AE17/AE16</f>
        <v>2.4190488550710321E-2</v>
      </c>
      <c r="AF19" s="46"/>
      <c r="AG19" s="19"/>
      <c r="AH19" s="79"/>
      <c r="AI19" s="111">
        <f>AI17/AI16</f>
        <v>8.8076258570034302E-2</v>
      </c>
      <c r="AJ19" s="76"/>
      <c r="AK19" s="111">
        <f>AK17/AK16</f>
        <v>8.8076258570034302E-2</v>
      </c>
      <c r="AL19" s="46"/>
      <c r="AM19" s="46"/>
      <c r="AN19" s="46"/>
    </row>
    <row r="20" spans="1:44" ht="14">
      <c r="A20" s="18"/>
      <c r="B20" s="77"/>
      <c r="C20" s="78"/>
      <c r="D20" s="33"/>
      <c r="G20" s="79"/>
      <c r="H20" s="75"/>
      <c r="I20" s="76"/>
      <c r="J20" s="82"/>
      <c r="K20" s="82"/>
      <c r="L20" s="83"/>
      <c r="M20" s="84"/>
      <c r="N20" s="85"/>
      <c r="O20" s="38"/>
      <c r="P20" s="86"/>
      <c r="Q20" s="82"/>
      <c r="S20" s="37"/>
      <c r="T20" s="38"/>
      <c r="U20" s="24"/>
      <c r="V20" s="82"/>
      <c r="X20" s="82"/>
      <c r="AA20" s="19"/>
      <c r="AB20" s="79"/>
      <c r="AC20" s="75"/>
      <c r="AD20" s="76"/>
      <c r="AE20" s="80"/>
      <c r="AF20" s="80"/>
      <c r="AG20" s="19"/>
      <c r="AH20" s="79"/>
      <c r="AI20" s="75"/>
      <c r="AJ20" s="76"/>
      <c r="AK20" s="80"/>
      <c r="AL20" s="80"/>
      <c r="AM20" s="80"/>
      <c r="AN20" s="80"/>
      <c r="AP20" s="45"/>
      <c r="AQ20" s="32"/>
      <c r="AR20" s="45"/>
    </row>
    <row r="21" spans="1:44" ht="17">
      <c r="A21" s="26" t="s">
        <v>33</v>
      </c>
      <c r="B21" s="39">
        <v>18</v>
      </c>
      <c r="C21" s="28">
        <v>14.92</v>
      </c>
      <c r="D21" s="87">
        <v>322.44630000000001</v>
      </c>
      <c r="E21" s="19">
        <f>D21*1000</f>
        <v>322446.3</v>
      </c>
      <c r="G21" s="30"/>
      <c r="H21" s="31"/>
      <c r="I21" s="4"/>
      <c r="J21" s="32"/>
      <c r="K21" s="33"/>
      <c r="L21" s="35"/>
      <c r="M21" s="36"/>
      <c r="N21" s="4"/>
      <c r="O21" s="19"/>
      <c r="P21" s="33"/>
      <c r="Q21" s="34"/>
      <c r="R21" s="1"/>
      <c r="S21" s="37"/>
      <c r="T21" s="38"/>
      <c r="U21" s="24"/>
      <c r="V21" s="25"/>
      <c r="AA21" s="19"/>
      <c r="AB21" s="79"/>
      <c r="AC21" s="75"/>
      <c r="AD21" s="76"/>
      <c r="AE21" s="82"/>
      <c r="AF21" s="82"/>
      <c r="AG21" s="19"/>
      <c r="AH21" s="79"/>
      <c r="AI21" s="75"/>
      <c r="AJ21" s="76"/>
      <c r="AK21" s="82"/>
      <c r="AL21" s="82"/>
      <c r="AM21" s="82"/>
      <c r="AN21" s="82"/>
      <c r="AP21" s="45"/>
      <c r="AQ21" s="32"/>
      <c r="AR21" s="45"/>
    </row>
    <row r="22" spans="1:44" ht="14">
      <c r="A22" s="18"/>
      <c r="B22" s="39"/>
      <c r="C22" s="28"/>
      <c r="D22" s="40"/>
      <c r="G22" s="30"/>
      <c r="H22" s="31"/>
      <c r="I22" s="4"/>
      <c r="J22" s="32"/>
      <c r="K22" s="33"/>
      <c r="L22" s="35"/>
      <c r="M22" s="36"/>
      <c r="N22" s="4"/>
      <c r="O22" s="19"/>
      <c r="P22" s="33"/>
      <c r="Q22" s="34"/>
      <c r="R22" s="1"/>
      <c r="S22" s="37"/>
      <c r="T22" s="38"/>
      <c r="U22" s="24"/>
      <c r="V22" s="25"/>
      <c r="AP22" s="45"/>
      <c r="AQ22" s="32"/>
      <c r="AR22" s="45"/>
    </row>
    <row r="23" spans="1:44" ht="14">
      <c r="A23" s="18"/>
      <c r="B23" s="39"/>
      <c r="C23" s="28"/>
      <c r="D23" s="40"/>
      <c r="F23" s="41">
        <v>1685.7</v>
      </c>
      <c r="G23" s="21">
        <v>9.6815524937142872</v>
      </c>
      <c r="H23" s="31">
        <f t="shared" ref="H23:H28" si="16">G23/F23</f>
        <v>5.7433425245976668E-3</v>
      </c>
      <c r="I23" s="4">
        <f>H23*E21</f>
        <v>1851.9195466891765</v>
      </c>
      <c r="J23" s="37">
        <f t="shared" ref="J23:J28" si="17">I23/1000/(0.5)/(C$21)</f>
        <v>0.24824658802803976</v>
      </c>
      <c r="K23" s="33"/>
      <c r="L23" s="21">
        <v>179.70160614638041</v>
      </c>
      <c r="M23" s="36">
        <f t="shared" ref="M23:M28" si="18">L23/F23</f>
        <v>0.10660355113387934</v>
      </c>
      <c r="N23" s="4">
        <f t="shared" ref="N23:N28" si="19">M23*E$21</f>
        <v>34373.920629980195</v>
      </c>
      <c r="O23" s="37">
        <f t="shared" ref="O23:O28" si="20">N23/1000/(0.5)/(C$21)</f>
        <v>4.6077641595147716</v>
      </c>
      <c r="P23" s="33"/>
      <c r="Q23" s="34">
        <f t="shared" ref="Q23:Q28" si="21">(M23/12.011)/(H23/14.0067)</f>
        <v>21.645300234888733</v>
      </c>
      <c r="R23" s="1"/>
      <c r="S23" s="21">
        <v>16.158506468700992</v>
      </c>
      <c r="T23" s="38">
        <f t="shared" ref="T23:T28" si="22">S23/F23</f>
        <v>9.5856359190253249E-3</v>
      </c>
      <c r="U23" s="24">
        <f t="shared" ref="U23:U28" si="23">T23*E$21</f>
        <v>3090.8528352368157</v>
      </c>
      <c r="V23" s="37">
        <f t="shared" ref="V23:V28" si="24">U23/1000/(0.5)/(C$21)</f>
        <v>0.41432343635882246</v>
      </c>
      <c r="X23" s="37">
        <f t="shared" ref="X23:X28" si="25">(T23/1.00794)/(M23/12.011)</f>
        <v>1.071503870502641</v>
      </c>
      <c r="Y23" s="37">
        <f t="shared" ref="Y23:Y28" si="26">(M23/12.011)/(T23/1.00794)</f>
        <v>0.93326774408281088</v>
      </c>
      <c r="AA23" s="45">
        <v>341.2</v>
      </c>
      <c r="AB23" s="37">
        <v>18.737342818246248</v>
      </c>
      <c r="AC23" s="31">
        <f t="shared" ref="AC23:AC25" si="27">AB23/AA23</f>
        <v>5.4916010604473181E-2</v>
      </c>
      <c r="AD23" s="4">
        <f>AC23*$E$21</f>
        <v>17707.464430173139</v>
      </c>
      <c r="AE23" s="44">
        <f>AD23/1000/(0.5)/(C$21)</f>
        <v>2.3736547493529678</v>
      </c>
      <c r="AF23" s="44"/>
      <c r="AG23" s="115">
        <v>2119.04</v>
      </c>
      <c r="AH23" s="88">
        <v>4.2768712627210572</v>
      </c>
      <c r="AI23" s="31">
        <f t="shared" ref="AI23:AI25" si="28">AH23/AG23</f>
        <v>2.0183060549687866E-3</v>
      </c>
      <c r="AJ23" s="4">
        <f>AI23*$E$21</f>
        <v>650.79531969228185</v>
      </c>
      <c r="AK23" s="44">
        <f>AJ23/1000/(0.5)/C$7</f>
        <v>8.723797851102974E-2</v>
      </c>
      <c r="AL23" s="44"/>
      <c r="AM23" s="44"/>
      <c r="AN23" s="44"/>
      <c r="AP23" s="45"/>
      <c r="AQ23" s="37"/>
      <c r="AR23" s="45"/>
    </row>
    <row r="24" spans="1:44" ht="14">
      <c r="A24" s="18"/>
      <c r="B24" s="39"/>
      <c r="C24" s="28"/>
      <c r="D24" s="40"/>
      <c r="F24" s="41">
        <v>1832</v>
      </c>
      <c r="G24" s="21">
        <v>10.603605112163267</v>
      </c>
      <c r="H24" s="31">
        <f t="shared" si="16"/>
        <v>5.7879940568576786E-3</v>
      </c>
      <c r="I24" s="4">
        <f>H24*E21</f>
        <v>1866.3172680557479</v>
      </c>
      <c r="J24" s="37">
        <f t="shared" si="17"/>
        <v>0.25017657748736571</v>
      </c>
      <c r="K24" s="33"/>
      <c r="L24" s="21">
        <v>195.04375781575897</v>
      </c>
      <c r="M24" s="36">
        <f t="shared" si="18"/>
        <v>0.10646493330554528</v>
      </c>
      <c r="N24" s="4">
        <f t="shared" si="19"/>
        <v>34329.223824119843</v>
      </c>
      <c r="O24" s="37">
        <f t="shared" si="20"/>
        <v>4.6017726305790676</v>
      </c>
      <c r="P24" s="33"/>
      <c r="Q24" s="34">
        <f t="shared" si="21"/>
        <v>21.450388867300944</v>
      </c>
      <c r="R24" s="1"/>
      <c r="S24" s="21">
        <v>18.355426560012063</v>
      </c>
      <c r="T24" s="38">
        <f t="shared" si="22"/>
        <v>1.0019337641927983E-2</v>
      </c>
      <c r="U24" s="24">
        <f t="shared" si="23"/>
        <v>3230.6983510904029</v>
      </c>
      <c r="V24" s="37">
        <f t="shared" si="24"/>
        <v>0.43306948406037571</v>
      </c>
      <c r="X24" s="37">
        <f t="shared" si="25"/>
        <v>1.1214422455882069</v>
      </c>
      <c r="Y24" s="37">
        <f t="shared" si="26"/>
        <v>0.89170887215461614</v>
      </c>
      <c r="AA24" s="45">
        <v>258.2</v>
      </c>
      <c r="AB24" s="37">
        <v>14.696594982016567</v>
      </c>
      <c r="AC24" s="31">
        <f t="shared" si="27"/>
        <v>5.6919422858313584E-2</v>
      </c>
      <c r="AD24" s="4">
        <f t="shared" ref="AD24:AD25" si="29">AC24*$E$21</f>
        <v>18353.457298798639</v>
      </c>
      <c r="AE24" s="44">
        <f>AD24/1000/(0.5)/(C$21)</f>
        <v>2.4602489676673778</v>
      </c>
      <c r="AF24" s="44"/>
      <c r="AG24" s="115">
        <v>2696.5119999999997</v>
      </c>
      <c r="AH24" s="88">
        <v>5.0058834097757829</v>
      </c>
      <c r="AI24" s="31">
        <f t="shared" si="28"/>
        <v>1.8564291239111057E-3</v>
      </c>
      <c r="AJ24" s="4">
        <f t="shared" ref="AJ24:AJ25" si="30">AI24*$E$21</f>
        <v>598.59870221737754</v>
      </c>
      <c r="AK24" s="44">
        <f>AJ24/1000/(0.5)/C$7</f>
        <v>8.0241112897771791E-2</v>
      </c>
      <c r="AL24" s="44"/>
      <c r="AM24" s="44"/>
      <c r="AN24" s="44"/>
      <c r="AP24" s="45"/>
      <c r="AQ24" s="37"/>
      <c r="AR24" s="45"/>
    </row>
    <row r="25" spans="1:44" ht="14">
      <c r="A25" s="18"/>
      <c r="B25" s="39"/>
      <c r="C25" s="28"/>
      <c r="D25" s="40"/>
      <c r="F25" s="41">
        <v>2089.5</v>
      </c>
      <c r="G25" s="21">
        <v>12.579432151696796</v>
      </c>
      <c r="H25" s="31">
        <f t="shared" si="16"/>
        <v>6.0203073231379738E-3</v>
      </c>
      <c r="I25" s="4">
        <f>H25*E21</f>
        <v>1941.225821208744</v>
      </c>
      <c r="J25" s="37">
        <f t="shared" si="17"/>
        <v>0.26021793849983166</v>
      </c>
      <c r="K25" s="33"/>
      <c r="L25" s="21">
        <v>224.17932660114033</v>
      </c>
      <c r="M25" s="36">
        <f t="shared" si="18"/>
        <v>0.10728850280025859</v>
      </c>
      <c r="N25" s="4">
        <f t="shared" si="19"/>
        <v>34594.780760483023</v>
      </c>
      <c r="O25" s="37">
        <f t="shared" si="20"/>
        <v>4.6373700751317726</v>
      </c>
      <c r="P25" s="33"/>
      <c r="Q25" s="34">
        <f t="shared" si="21"/>
        <v>20.782183880798996</v>
      </c>
      <c r="R25" s="1"/>
      <c r="S25" s="21">
        <v>21.571208142945657</v>
      </c>
      <c r="T25" s="38">
        <f t="shared" si="22"/>
        <v>1.0323621987530824E-2</v>
      </c>
      <c r="U25" s="24">
        <f t="shared" si="23"/>
        <v>3328.8137124779605</v>
      </c>
      <c r="V25" s="37">
        <f t="shared" si="24"/>
        <v>0.44622167727586604</v>
      </c>
      <c r="X25" s="37">
        <f t="shared" si="25"/>
        <v>1.1466302516322295</v>
      </c>
      <c r="Y25" s="37">
        <f t="shared" si="26"/>
        <v>0.87212071945293512</v>
      </c>
      <c r="AA25" s="45">
        <v>306.2</v>
      </c>
      <c r="AB25" s="37">
        <v>18.487300930723919</v>
      </c>
      <c r="AC25" s="31">
        <f t="shared" si="27"/>
        <v>6.0376554313272109E-2</v>
      </c>
      <c r="AD25" s="4">
        <f t="shared" si="29"/>
        <v>19468.196545063631</v>
      </c>
      <c r="AE25" s="44">
        <f>AD25/1000/(0.5)/(C$21)</f>
        <v>2.6096778210541061</v>
      </c>
      <c r="AF25" s="44"/>
      <c r="AG25" s="115">
        <v>2080.1759999999999</v>
      </c>
      <c r="AH25" s="88">
        <v>4.1796696431137601</v>
      </c>
      <c r="AI25" s="31">
        <f t="shared" si="28"/>
        <v>2.0092865426357001E-3</v>
      </c>
      <c r="AJ25" s="4">
        <f t="shared" si="30"/>
        <v>647.88701131267374</v>
      </c>
      <c r="AK25" s="44">
        <f>AJ25/1000/(0.5)/C$7</f>
        <v>8.6848124840840993E-2</v>
      </c>
      <c r="AL25" s="25" t="s">
        <v>28</v>
      </c>
      <c r="AM25" s="25" t="s">
        <v>37</v>
      </c>
      <c r="AN25" s="25" t="s">
        <v>38</v>
      </c>
      <c r="AO25" s="25" t="s">
        <v>39</v>
      </c>
      <c r="AP25" s="45"/>
      <c r="AQ25" s="37"/>
      <c r="AR25" s="45"/>
    </row>
    <row r="26" spans="1:44" ht="14">
      <c r="A26" s="18"/>
      <c r="B26" s="39"/>
      <c r="C26" s="28"/>
      <c r="D26" s="40"/>
      <c r="F26" s="41">
        <v>1941.2</v>
      </c>
      <c r="G26" s="21">
        <v>10.926914067963143</v>
      </c>
      <c r="H26" s="31">
        <f t="shared" si="16"/>
        <v>5.6289481083675779E-3</v>
      </c>
      <c r="I26" s="4">
        <f>H26*E21</f>
        <v>1815.0334904351243</v>
      </c>
      <c r="J26" s="37">
        <f t="shared" si="17"/>
        <v>0.24330207646583438</v>
      </c>
      <c r="K26" s="33"/>
      <c r="L26" s="21">
        <v>206.6157477705994</v>
      </c>
      <c r="M26" s="36">
        <f t="shared" si="18"/>
        <v>0.10643712537121337</v>
      </c>
      <c r="N26" s="4">
        <f t="shared" si="19"/>
        <v>34320.257258583879</v>
      </c>
      <c r="O26" s="37">
        <f t="shared" si="20"/>
        <v>4.6005706780943543</v>
      </c>
      <c r="P26" s="33"/>
      <c r="Q26" s="34">
        <f t="shared" si="21"/>
        <v>22.050708676206604</v>
      </c>
      <c r="R26" s="1"/>
      <c r="S26" s="21">
        <v>18.878928362361727</v>
      </c>
      <c r="T26" s="38">
        <f t="shared" si="22"/>
        <v>9.7253906667843226E-3</v>
      </c>
      <c r="U26" s="24">
        <f t="shared" si="23"/>
        <v>3135.9162365591378</v>
      </c>
      <c r="V26" s="37">
        <f t="shared" si="24"/>
        <v>0.42036410677736435</v>
      </c>
      <c r="X26" s="37">
        <f t="shared" si="25"/>
        <v>1.088825806530155</v>
      </c>
      <c r="Y26" s="37">
        <f t="shared" si="26"/>
        <v>0.91842055359321151</v>
      </c>
      <c r="AA26" s="41"/>
      <c r="AB26" s="46"/>
      <c r="AC26" s="31"/>
      <c r="AD26" s="4"/>
      <c r="AE26" s="44"/>
      <c r="AF26" s="44"/>
      <c r="AG26" s="47"/>
      <c r="AH26" s="46"/>
      <c r="AI26" s="31"/>
      <c r="AJ26" s="4"/>
      <c r="AK26" s="44"/>
      <c r="AL26" s="25" t="s">
        <v>30</v>
      </c>
      <c r="AO26" s="25" t="s">
        <v>30</v>
      </c>
      <c r="AP26" s="45"/>
      <c r="AQ26" s="32"/>
      <c r="AR26" s="45"/>
    </row>
    <row r="27" spans="1:44" ht="14">
      <c r="A27" s="18"/>
      <c r="B27" s="39"/>
      <c r="C27" s="28"/>
      <c r="D27" s="40"/>
      <c r="F27" s="41">
        <v>2093.3000000000002</v>
      </c>
      <c r="G27" s="21">
        <v>11.723207400851145</v>
      </c>
      <c r="H27" s="31">
        <f t="shared" si="16"/>
        <v>5.6003474900163108E-3</v>
      </c>
      <c r="I27" s="4">
        <f>H27*E21</f>
        <v>1805.8113268700463</v>
      </c>
      <c r="J27" s="37">
        <f t="shared" si="17"/>
        <v>0.24206586151073006</v>
      </c>
      <c r="K27" s="33"/>
      <c r="L27" s="21">
        <v>223.96972549059814</v>
      </c>
      <c r="M27" s="36">
        <f t="shared" si="18"/>
        <v>0.10699361080141313</v>
      </c>
      <c r="N27" s="4">
        <f t="shared" si="19"/>
        <v>34499.693926555701</v>
      </c>
      <c r="O27" s="37">
        <f t="shared" si="20"/>
        <v>4.6246238507447321</v>
      </c>
      <c r="P27" s="33"/>
      <c r="Q27" s="34">
        <f t="shared" si="21"/>
        <v>22.279196773061745</v>
      </c>
      <c r="R27" s="1"/>
      <c r="S27" s="21">
        <v>20.856874008503546</v>
      </c>
      <c r="T27" s="38">
        <f t="shared" si="22"/>
        <v>9.9636335014109505E-3</v>
      </c>
      <c r="U27" s="24">
        <f t="shared" si="23"/>
        <v>3212.7367570860056</v>
      </c>
      <c r="V27" s="37">
        <f t="shared" si="24"/>
        <v>0.43066176368445114</v>
      </c>
      <c r="X27" s="37">
        <f t="shared" si="25"/>
        <v>1.1096969348858232</v>
      </c>
      <c r="Y27" s="37">
        <f t="shared" si="26"/>
        <v>0.90114694252344674</v>
      </c>
      <c r="AA27" s="66"/>
      <c r="AB27" s="67"/>
      <c r="AC27" s="68">
        <f>AVERAGE(AC23:AC25)</f>
        <v>5.7403995925352953E-2</v>
      </c>
      <c r="AD27" s="4"/>
      <c r="AE27" s="44"/>
      <c r="AF27" s="44"/>
      <c r="AG27" s="47"/>
      <c r="AH27" s="67"/>
      <c r="AI27" s="68"/>
      <c r="AJ27" s="69"/>
      <c r="AK27" s="44"/>
      <c r="AP27" s="45"/>
      <c r="AQ27" s="32"/>
      <c r="AR27" s="45"/>
    </row>
    <row r="28" spans="1:44" ht="14">
      <c r="A28" s="18"/>
      <c r="B28" s="39"/>
      <c r="C28" s="28"/>
      <c r="D28" s="40"/>
      <c r="F28" s="41">
        <v>3104.4</v>
      </c>
      <c r="G28" s="21">
        <v>17.164545175585829</v>
      </c>
      <c r="H28" s="31">
        <f t="shared" si="16"/>
        <v>5.5291022985394372E-3</v>
      </c>
      <c r="I28" s="4">
        <f>H28*E21</f>
        <v>1782.8385784855368</v>
      </c>
      <c r="J28" s="37">
        <f t="shared" si="17"/>
        <v>0.23898640462272611</v>
      </c>
      <c r="K28" s="33"/>
      <c r="L28" s="21">
        <v>331.05055449472439</v>
      </c>
      <c r="M28" s="36">
        <f t="shared" si="18"/>
        <v>0.10663914266677116</v>
      </c>
      <c r="N28" s="4">
        <f t="shared" si="19"/>
        <v>34385.396988072491</v>
      </c>
      <c r="O28" s="37">
        <f t="shared" si="20"/>
        <v>4.6093025453180285</v>
      </c>
      <c r="P28" s="33"/>
      <c r="Q28" s="34">
        <f t="shared" si="21"/>
        <v>22.491513425252261</v>
      </c>
      <c r="R28" s="1"/>
      <c r="S28" s="21">
        <v>31.212947147652567</v>
      </c>
      <c r="T28" s="38">
        <f t="shared" si="22"/>
        <v>1.0054421835991678E-2</v>
      </c>
      <c r="U28" s="24">
        <f t="shared" si="23"/>
        <v>3242.0111196547232</v>
      </c>
      <c r="V28" s="37">
        <f t="shared" si="24"/>
        <v>0.43458594097248299</v>
      </c>
      <c r="X28" s="37">
        <f t="shared" si="25"/>
        <v>1.123530700004399</v>
      </c>
      <c r="Y28" s="37">
        <f t="shared" si="26"/>
        <v>0.89005133548739224</v>
      </c>
      <c r="AA28" s="41"/>
      <c r="AB28" s="46"/>
      <c r="AC28" s="31"/>
      <c r="AD28" s="4"/>
      <c r="AE28" s="44"/>
      <c r="AF28" s="44"/>
      <c r="AG28" s="41"/>
      <c r="AH28" s="46"/>
      <c r="AI28" s="31"/>
      <c r="AJ28" s="4"/>
      <c r="AK28" s="44"/>
      <c r="AP28" s="45"/>
      <c r="AQ28" s="37"/>
      <c r="AR28" s="45"/>
    </row>
    <row r="29" spans="1:44" ht="14">
      <c r="A29" s="18"/>
      <c r="B29" s="39"/>
      <c r="C29" s="28"/>
      <c r="D29" s="40"/>
      <c r="G29" s="30"/>
      <c r="H29" s="31"/>
      <c r="I29" s="4"/>
      <c r="J29" s="32"/>
      <c r="K29" s="33"/>
      <c r="L29" s="35"/>
      <c r="M29" s="36"/>
      <c r="N29" s="4"/>
      <c r="O29" s="32"/>
      <c r="P29" s="33"/>
      <c r="Q29" s="34"/>
      <c r="R29" s="1"/>
      <c r="S29" s="37"/>
      <c r="T29" s="38"/>
      <c r="U29" s="24"/>
      <c r="V29" s="32"/>
      <c r="AA29" s="41"/>
      <c r="AB29" s="32"/>
      <c r="AC29" s="31"/>
      <c r="AD29" s="4"/>
      <c r="AE29" s="37"/>
      <c r="AF29" s="37"/>
      <c r="AG29" s="41"/>
      <c r="AH29" s="32"/>
      <c r="AI29" s="31"/>
      <c r="AJ29" s="4"/>
      <c r="AK29" s="37"/>
      <c r="AP29" s="45"/>
      <c r="AQ29" s="32"/>
      <c r="AR29" s="45"/>
    </row>
    <row r="30" spans="1:44" ht="14">
      <c r="A30" s="18"/>
      <c r="B30" s="18"/>
      <c r="C30" s="28"/>
      <c r="D30" s="33"/>
      <c r="G30" s="72"/>
      <c r="H30" s="73"/>
      <c r="I30" s="8"/>
      <c r="J30" s="32"/>
      <c r="K30" s="33"/>
      <c r="L30" s="74"/>
      <c r="M30" s="75"/>
      <c r="N30" s="76"/>
      <c r="O30" s="32"/>
      <c r="P30" s="33"/>
      <c r="Q30" s="34"/>
      <c r="R30" s="1"/>
      <c r="S30" s="37"/>
      <c r="T30" s="38"/>
      <c r="U30" s="24"/>
      <c r="V30" s="32"/>
      <c r="AA30" s="41"/>
      <c r="AB30" s="32"/>
      <c r="AC30" s="31"/>
      <c r="AD30" s="4"/>
      <c r="AE30" s="37"/>
      <c r="AF30" s="37"/>
      <c r="AG30" s="41"/>
      <c r="AH30" s="32"/>
      <c r="AI30" s="31"/>
      <c r="AJ30" s="4"/>
      <c r="AK30" s="37"/>
      <c r="AP30" s="45"/>
      <c r="AQ30" s="32"/>
      <c r="AR30" s="45"/>
    </row>
    <row r="31" spans="1:44" ht="14">
      <c r="A31" s="18"/>
      <c r="B31" s="77" t="s">
        <v>27</v>
      </c>
      <c r="C31" s="78"/>
      <c r="D31" s="33"/>
      <c r="G31" s="79"/>
      <c r="H31" s="75"/>
      <c r="I31" s="76"/>
      <c r="J31" s="37">
        <f>AVERAGE(J23:J28)</f>
        <v>0.24716590776908795</v>
      </c>
      <c r="K31" s="24"/>
      <c r="L31" s="74"/>
      <c r="M31" s="75"/>
      <c r="N31" s="76"/>
      <c r="O31" s="37">
        <f>AVERAGE(O23:O28)</f>
        <v>4.6135673232304546</v>
      </c>
      <c r="P31" s="19"/>
      <c r="Q31" s="37">
        <f>AVERAGE(Q23:Q28)</f>
        <v>21.783215309584879</v>
      </c>
      <c r="S31" s="37"/>
      <c r="T31" s="38"/>
      <c r="U31" s="24"/>
      <c r="V31" s="37">
        <f>AVERAGE(V23:V28)</f>
        <v>0.42987106818822701</v>
      </c>
      <c r="X31" s="37">
        <f>AVERAGE(X23:X28)</f>
        <v>1.1102716348572426</v>
      </c>
      <c r="Y31" s="37">
        <f>AVERAGE(Y23:Y28)</f>
        <v>0.90111936121573544</v>
      </c>
      <c r="AA31" s="19"/>
      <c r="AB31" s="72"/>
      <c r="AC31" s="73"/>
      <c r="AD31" s="8"/>
      <c r="AE31" s="44">
        <f>AVERAGE(AE23:AE25)</f>
        <v>2.4811938460248171</v>
      </c>
      <c r="AF31" s="32"/>
      <c r="AG31" s="19"/>
      <c r="AH31" s="72"/>
      <c r="AI31" s="44">
        <f>AVERAGE(AI23:AI25)</f>
        <v>1.9613405738385307E-3</v>
      </c>
      <c r="AJ31" s="8"/>
      <c r="AK31" s="38">
        <f>AVERAGE(AK23:AK25)</f>
        <v>8.4775738749880827E-2</v>
      </c>
      <c r="AL31" s="37">
        <f>O31-AE31</f>
        <v>2.1323734772056375</v>
      </c>
      <c r="AM31" s="111">
        <f>AE31/O31</f>
        <v>0.53780375839134098</v>
      </c>
      <c r="AN31" s="111">
        <f>AK31/O31</f>
        <v>1.8375311946357428E-2</v>
      </c>
      <c r="AO31" s="37">
        <f>AL31-AK31</f>
        <v>2.0475977384557567</v>
      </c>
      <c r="AP31" s="45"/>
      <c r="AQ31" s="37"/>
      <c r="AR31" s="45"/>
    </row>
    <row r="32" spans="1:44">
      <c r="A32" s="18"/>
      <c r="B32" s="77" t="s">
        <v>29</v>
      </c>
      <c r="C32" s="78"/>
      <c r="D32" s="33"/>
      <c r="G32" s="79"/>
      <c r="H32" s="75"/>
      <c r="I32" s="76"/>
      <c r="J32" s="46">
        <f>STDEV(J23:J28)</f>
        <v>7.5951490317130279E-3</v>
      </c>
      <c r="K32" s="46"/>
      <c r="L32" s="75"/>
      <c r="M32" s="75"/>
      <c r="N32" s="75"/>
      <c r="O32" s="46">
        <f>STDEV(O23:O28)</f>
        <v>1.4482474913062426E-2</v>
      </c>
      <c r="P32" s="46"/>
      <c r="Q32" s="46">
        <f>STDEV(Q23:Q28)</f>
        <v>0.62467502973725042</v>
      </c>
      <c r="R32" s="22"/>
      <c r="S32" s="38"/>
      <c r="T32" s="38"/>
      <c r="U32" s="38"/>
      <c r="V32" s="46">
        <f>STDEV(V23:V28)</f>
        <v>1.124756575564516E-2</v>
      </c>
      <c r="W32" s="22"/>
      <c r="X32" s="46">
        <f>STDEV(X23:X28)</f>
        <v>2.6779573380528745E-2</v>
      </c>
      <c r="Y32" s="46">
        <f>STDEV(Y23:Y28)</f>
        <v>2.1839552474164758E-2</v>
      </c>
      <c r="AA32" s="19"/>
      <c r="AB32" s="79"/>
      <c r="AC32" s="75"/>
      <c r="AD32" s="76"/>
      <c r="AE32" s="46">
        <f>STDEV(AE23:AE25)</f>
        <v>0.11939739754645455</v>
      </c>
      <c r="AF32" s="44"/>
      <c r="AG32" s="19"/>
      <c r="AH32" s="79"/>
      <c r="AI32" s="46">
        <f>STDEV(AI23:AI25)</f>
        <v>9.0967835772253269E-5</v>
      </c>
      <c r="AJ32" s="76"/>
      <c r="AK32" s="46">
        <f>STDEV(AK23:AK25)</f>
        <v>3.9319359334813314E-3</v>
      </c>
      <c r="AL32" s="37"/>
      <c r="AM32" s="44"/>
      <c r="AN32" s="44"/>
    </row>
    <row r="33" spans="1:41">
      <c r="A33" s="18"/>
      <c r="B33" s="77" t="s">
        <v>31</v>
      </c>
      <c r="C33" s="78"/>
      <c r="D33" s="33"/>
      <c r="G33" s="79"/>
      <c r="H33" s="75"/>
      <c r="I33" s="76"/>
      <c r="J33" s="80">
        <f>COUNT(J23:J28)</f>
        <v>6</v>
      </c>
      <c r="K33" s="80"/>
      <c r="L33" s="74"/>
      <c r="M33" s="75"/>
      <c r="N33" s="81"/>
      <c r="O33" s="80">
        <f>COUNT(O23:O28)</f>
        <v>6</v>
      </c>
      <c r="P33" s="80"/>
      <c r="Q33" s="80">
        <f>COUNT(Q23:Q28)</f>
        <v>6</v>
      </c>
      <c r="S33" s="37"/>
      <c r="T33" s="38"/>
      <c r="U33" s="24"/>
      <c r="V33" s="80">
        <f>COUNT(V23:V28)</f>
        <v>6</v>
      </c>
      <c r="X33" s="80">
        <f>COUNT(X23:X28)</f>
        <v>6</v>
      </c>
      <c r="Y33" s="80">
        <f>COUNT(Y23:Y28)</f>
        <v>6</v>
      </c>
      <c r="AA33" s="19"/>
      <c r="AB33" s="79"/>
      <c r="AC33" s="75"/>
      <c r="AD33" s="76"/>
      <c r="AE33" s="80">
        <f>COUNT(AE23:AE25)</f>
        <v>3</v>
      </c>
      <c r="AF33" s="46"/>
      <c r="AG33" s="19"/>
      <c r="AH33" s="79"/>
      <c r="AI33" s="80">
        <f>COUNT(AI23:AI25)</f>
        <v>3</v>
      </c>
      <c r="AJ33" s="76"/>
      <c r="AK33" s="80">
        <f>COUNT(AK23:AK25)</f>
        <v>3</v>
      </c>
      <c r="AL33" s="46"/>
      <c r="AM33" s="46"/>
      <c r="AN33" s="46"/>
    </row>
    <row r="34" spans="1:41">
      <c r="A34" s="18"/>
      <c r="B34" s="77" t="s">
        <v>32</v>
      </c>
      <c r="C34" s="78"/>
      <c r="D34" s="33"/>
      <c r="G34" s="79"/>
      <c r="H34" s="75"/>
      <c r="I34" s="76"/>
      <c r="J34" s="82">
        <f>J32/J31</f>
        <v>3.0728950850328084E-2</v>
      </c>
      <c r="K34" s="82"/>
      <c r="L34" s="83"/>
      <c r="M34" s="84"/>
      <c r="N34" s="85"/>
      <c r="O34" s="82">
        <f>O32/O31</f>
        <v>3.1391055767495961E-3</v>
      </c>
      <c r="P34" s="86"/>
      <c r="Q34" s="82">
        <f>Q32/Q31</f>
        <v>2.8676897366128766E-2</v>
      </c>
      <c r="S34" s="37"/>
      <c r="T34" s="38"/>
      <c r="U34" s="24"/>
      <c r="V34" s="82">
        <f>V32/V31</f>
        <v>2.6164975007622996E-2</v>
      </c>
      <c r="X34" s="82">
        <f>X32/X31</f>
        <v>2.4119839271559911E-2</v>
      </c>
      <c r="Y34" s="82">
        <f>Y32/Y31</f>
        <v>2.4236026229311244E-2</v>
      </c>
      <c r="AA34" s="19"/>
      <c r="AB34" s="79"/>
      <c r="AC34" s="75"/>
      <c r="AD34" s="76"/>
      <c r="AE34" s="82">
        <f>AE32/AE31</f>
        <v>4.81209469940223E-2</v>
      </c>
      <c r="AF34" s="80"/>
      <c r="AG34" s="19"/>
      <c r="AH34" s="79"/>
      <c r="AI34" s="82">
        <f>AI32/AI31</f>
        <v>4.6380438454001145E-2</v>
      </c>
      <c r="AJ34" s="76"/>
      <c r="AK34" s="82">
        <f>AK32/AK31</f>
        <v>4.6380438454001187E-2</v>
      </c>
      <c r="AL34" s="80"/>
      <c r="AM34" s="80"/>
      <c r="AN34" s="80"/>
    </row>
    <row r="35" spans="1:41">
      <c r="D35" s="89"/>
      <c r="AA35" s="19"/>
      <c r="AB35" s="79"/>
      <c r="AC35" s="75"/>
      <c r="AD35" s="76"/>
      <c r="AE35" s="82"/>
      <c r="AF35" s="82"/>
      <c r="AG35" s="19"/>
      <c r="AH35" s="79"/>
      <c r="AI35" s="75"/>
      <c r="AJ35" s="76"/>
      <c r="AK35" s="82"/>
      <c r="AL35" s="82"/>
      <c r="AM35" s="82"/>
      <c r="AN35" s="82"/>
    </row>
    <row r="36" spans="1:41" ht="17">
      <c r="A36" s="26" t="s">
        <v>34</v>
      </c>
      <c r="B36" s="39">
        <v>5</v>
      </c>
      <c r="C36" s="28">
        <v>15.75</v>
      </c>
      <c r="D36" s="87">
        <v>132.4615</v>
      </c>
      <c r="E36" s="19">
        <f>D36*1000</f>
        <v>132461.5</v>
      </c>
      <c r="G36" s="30"/>
      <c r="H36" s="31"/>
      <c r="I36" s="4"/>
      <c r="J36" s="32"/>
      <c r="K36" s="33"/>
      <c r="L36" s="35"/>
      <c r="M36" s="36"/>
      <c r="N36" s="4"/>
      <c r="O36" s="19"/>
      <c r="P36" s="33"/>
      <c r="Q36" s="34"/>
      <c r="R36" s="1"/>
      <c r="S36" s="37"/>
      <c r="T36" s="38"/>
      <c r="U36" s="24"/>
      <c r="V36" s="25"/>
    </row>
    <row r="37" spans="1:41" ht="14">
      <c r="A37" s="18"/>
      <c r="B37" s="39"/>
      <c r="C37" s="28"/>
      <c r="D37" s="40"/>
      <c r="G37" s="30"/>
      <c r="H37" s="31"/>
      <c r="I37" s="4"/>
      <c r="J37" s="32"/>
      <c r="K37" s="33"/>
      <c r="L37" s="35"/>
      <c r="M37" s="36"/>
      <c r="N37" s="4"/>
      <c r="O37" s="19"/>
      <c r="P37" s="33"/>
      <c r="Q37" s="34"/>
      <c r="R37" s="1"/>
      <c r="S37" s="37"/>
      <c r="T37" s="38"/>
      <c r="U37" s="24"/>
      <c r="V37" s="25"/>
      <c r="AG37" s="116"/>
    </row>
    <row r="38" spans="1:41" s="47" customFormat="1" ht="14">
      <c r="A38" s="100"/>
      <c r="B38" s="101"/>
      <c r="C38" s="28"/>
      <c r="D38" s="102"/>
      <c r="E38" s="103"/>
      <c r="F38" s="66">
        <v>1074.3</v>
      </c>
      <c r="G38" s="107">
        <v>4.6761239935626833</v>
      </c>
      <c r="H38" s="68">
        <f t="shared" ref="H38:H43" si="31">G38/F38</f>
        <v>4.3527171121313258E-3</v>
      </c>
      <c r="I38" s="69">
        <f>H38*E36</f>
        <v>576.56743774858364</v>
      </c>
      <c r="J38" s="105">
        <f t="shared" ref="J38:J43" si="32">I38/1000/(0.5)/(C$36)</f>
        <v>7.3214912729978876E-2</v>
      </c>
      <c r="K38" s="106"/>
      <c r="L38" s="107">
        <v>105.31394962955125</v>
      </c>
      <c r="M38" s="71">
        <f t="shared" ref="M38:M43" si="33">L38/F38</f>
        <v>9.8030298454390069E-2</v>
      </c>
      <c r="N38" s="69">
        <f t="shared" ref="N38:N43" si="34">M38*E$36</f>
        <v>12985.240378716189</v>
      </c>
      <c r="O38" s="105">
        <f t="shared" ref="O38:O43" si="35">N38/1000/(0.5)/(C$36)</f>
        <v>1.6489194131703098</v>
      </c>
      <c r="P38" s="106"/>
      <c r="Q38" s="78">
        <f t="shared" ref="Q38:Q43" si="36">(M38/12.011)/(H38/14.0067)</f>
        <v>26.263738280553401</v>
      </c>
      <c r="R38" s="108"/>
      <c r="S38" s="107">
        <v>8.2464101978198165</v>
      </c>
      <c r="T38" s="109">
        <f t="shared" ref="T38:T43" si="37">S38/F38</f>
        <v>7.6760776299169848E-3</v>
      </c>
      <c r="U38" s="110">
        <f t="shared" ref="U38:U43" si="38">T38*E$36</f>
        <v>1016.7847569752487</v>
      </c>
      <c r="V38" s="105">
        <f t="shared" ref="V38:V43" si="39">U38/1000/(0.5)/(C$36)</f>
        <v>0.12911552469526966</v>
      </c>
      <c r="X38" s="105">
        <f t="shared" ref="X38:X43" si="40">(T38/1.00794)/(M38/12.011)</f>
        <v>0.9330899672510351</v>
      </c>
      <c r="Y38" s="105">
        <f>(M38/12.011)/(T38/1.00794)</f>
        <v>1.0717080186234214</v>
      </c>
      <c r="AA38" s="45">
        <v>259.10000000000002</v>
      </c>
      <c r="AB38" s="104">
        <v>15.046298955203829</v>
      </c>
      <c r="AC38" s="68">
        <f t="shared" ref="AC38:AC40" si="41">AB38/AA38</f>
        <v>5.8071396971068417E-2</v>
      </c>
      <c r="AD38" s="69">
        <f>AC38*$E$36</f>
        <v>7692.2243498831795</v>
      </c>
      <c r="AE38" s="70">
        <f>AD38/1000/(0.5)/(C$36)</f>
        <v>0.97679039363595932</v>
      </c>
      <c r="AF38" s="70"/>
      <c r="AG38" s="117">
        <v>1316.127</v>
      </c>
      <c r="AH38" s="104">
        <v>2.5272421097897158</v>
      </c>
      <c r="AI38" s="68">
        <f t="shared" ref="AI38:AI40" si="42">AH38/AG38</f>
        <v>1.9202114308039542E-3</v>
      </c>
      <c r="AJ38" s="69">
        <f>AI38*$E$36</f>
        <v>254.35408644143797</v>
      </c>
      <c r="AK38" s="70">
        <f>AJ38/1000/(0.5)/C$7</f>
        <v>3.4095722043088202E-2</v>
      </c>
      <c r="AL38" s="70"/>
      <c r="AM38" s="70"/>
      <c r="AN38" s="70"/>
    </row>
    <row r="39" spans="1:41" s="47" customFormat="1" ht="14">
      <c r="A39" s="100"/>
      <c r="B39" s="101"/>
      <c r="C39" s="28"/>
      <c r="D39" s="102"/>
      <c r="E39" s="103"/>
      <c r="F39" s="66">
        <v>1281.4000000000001</v>
      </c>
      <c r="G39" s="107">
        <v>6.6519510330962115</v>
      </c>
      <c r="H39" s="68">
        <f t="shared" si="31"/>
        <v>5.1911589145436331E-3</v>
      </c>
      <c r="I39" s="69">
        <f>H39*E36</f>
        <v>687.6286965588215</v>
      </c>
      <c r="J39" s="105">
        <f t="shared" si="32"/>
        <v>8.7317929721755116E-2</v>
      </c>
      <c r="K39" s="106"/>
      <c r="L39" s="107">
        <v>130.72287589587219</v>
      </c>
      <c r="M39" s="71">
        <f t="shared" si="33"/>
        <v>0.10201566715769642</v>
      </c>
      <c r="N39" s="69">
        <f t="shared" si="34"/>
        <v>13513.148295209205</v>
      </c>
      <c r="O39" s="105">
        <f t="shared" si="35"/>
        <v>1.7159553390741846</v>
      </c>
      <c r="P39" s="106"/>
      <c r="Q39" s="78">
        <f t="shared" si="36"/>
        <v>22.917076267654362</v>
      </c>
      <c r="R39" s="108"/>
      <c r="S39" s="107">
        <v>10.602527397196907</v>
      </c>
      <c r="T39" s="109">
        <f t="shared" si="37"/>
        <v>8.2741746505360595E-3</v>
      </c>
      <c r="U39" s="110">
        <f t="shared" si="38"/>
        <v>1096.0095854719823</v>
      </c>
      <c r="V39" s="105">
        <f t="shared" si="39"/>
        <v>0.13917582037739457</v>
      </c>
      <c r="X39" s="105">
        <f t="shared" si="40"/>
        <v>0.96650097417063907</v>
      </c>
      <c r="Y39" s="105">
        <f>(M39/12.011)/(T39/1.00794)</f>
        <v>1.0346601056021765</v>
      </c>
      <c r="AA39" s="45">
        <v>232.2</v>
      </c>
      <c r="AB39" s="104">
        <v>13.491960555109335</v>
      </c>
      <c r="AC39" s="68">
        <f t="shared" si="41"/>
        <v>5.8104911951375258E-2</v>
      </c>
      <c r="AD39" s="69">
        <f t="shared" ref="AD39:AD40" si="43">AC39*$E$36</f>
        <v>7696.663794447094</v>
      </c>
      <c r="AE39" s="70">
        <f>AD39/1000/(0.5)/(C$36)</f>
        <v>0.97735413262820237</v>
      </c>
      <c r="AF39" s="70"/>
      <c r="AG39" s="117">
        <v>1902.318</v>
      </c>
      <c r="AH39" s="104">
        <v>3.3534558764517381</v>
      </c>
      <c r="AI39" s="68">
        <f t="shared" si="42"/>
        <v>1.7628261292022354E-3</v>
      </c>
      <c r="AJ39" s="69">
        <f t="shared" ref="AJ39:AJ40" si="44">AI39*$E$36</f>
        <v>233.5065933133219</v>
      </c>
      <c r="AK39" s="70">
        <f>AJ39/1000/(0.5)/C$7</f>
        <v>3.1301151918675857E-2</v>
      </c>
      <c r="AL39" s="70"/>
      <c r="AM39" s="70"/>
      <c r="AN39" s="70"/>
    </row>
    <row r="40" spans="1:41" ht="14">
      <c r="A40" s="18"/>
      <c r="B40" s="39"/>
      <c r="C40" s="28"/>
      <c r="D40" s="40"/>
      <c r="F40" s="41">
        <v>2416.9</v>
      </c>
      <c r="G40" s="21">
        <v>10.603605112163267</v>
      </c>
      <c r="H40" s="31">
        <f t="shared" si="31"/>
        <v>4.3872750681299465E-3</v>
      </c>
      <c r="I40" s="4">
        <f>H40*E36</f>
        <v>581.14503643709486</v>
      </c>
      <c r="J40" s="37">
        <f t="shared" si="32"/>
        <v>7.3796195103123144E-2</v>
      </c>
      <c r="K40" s="33"/>
      <c r="L40" s="21">
        <v>234.29449915287572</v>
      </c>
      <c r="M40" s="36">
        <f t="shared" si="33"/>
        <v>9.6940088192674786E-2</v>
      </c>
      <c r="N40" s="4">
        <f t="shared" si="34"/>
        <v>12840.829492133991</v>
      </c>
      <c r="O40" s="37">
        <f t="shared" si="35"/>
        <v>1.6305815228106657</v>
      </c>
      <c r="P40" s="33"/>
      <c r="Q40" s="34">
        <f t="shared" si="36"/>
        <v>25.767080026452568</v>
      </c>
      <c r="R40" s="1"/>
      <c r="S40" s="21">
        <v>20.170273591964687</v>
      </c>
      <c r="T40" s="38">
        <f t="shared" si="37"/>
        <v>8.3455143332221791E-3</v>
      </c>
      <c r="U40" s="24">
        <f t="shared" si="38"/>
        <v>1105.4593468501096</v>
      </c>
      <c r="V40" s="37">
        <f t="shared" si="39"/>
        <v>0.14037579007620438</v>
      </c>
      <c r="X40" s="37">
        <f t="shared" si="40"/>
        <v>1.0258743785950628</v>
      </c>
      <c r="Y40" s="37">
        <f>(M40/12.011)/(T40/1.00794)</f>
        <v>0.9747782193074187</v>
      </c>
      <c r="AA40" s="45">
        <v>254.1</v>
      </c>
      <c r="AB40" s="37">
        <v>15.020585427763589</v>
      </c>
      <c r="AC40" s="31">
        <f t="shared" si="41"/>
        <v>5.9112890309970835E-2</v>
      </c>
      <c r="AD40" s="4">
        <f t="shared" si="43"/>
        <v>7830.1821197942018</v>
      </c>
      <c r="AE40" s="44">
        <f>AD40/1000/(0.5)/(C$36)</f>
        <v>0.99430884060878755</v>
      </c>
      <c r="AF40" s="44"/>
      <c r="AG40" s="115">
        <v>1995.114</v>
      </c>
      <c r="AH40" s="32">
        <v>3.3534558764517381</v>
      </c>
      <c r="AI40" s="31">
        <f t="shared" si="42"/>
        <v>1.6808342162160849E-3</v>
      </c>
      <c r="AJ40" s="4">
        <f t="shared" si="44"/>
        <v>222.64582153130692</v>
      </c>
      <c r="AK40" s="44">
        <f>AJ40/1000/(0.5)/C$7</f>
        <v>2.9845284387574653E-2</v>
      </c>
      <c r="AL40" s="25" t="s">
        <v>28</v>
      </c>
      <c r="AM40" s="25" t="s">
        <v>37</v>
      </c>
      <c r="AN40" s="25" t="s">
        <v>38</v>
      </c>
      <c r="AO40" s="25" t="s">
        <v>39</v>
      </c>
    </row>
    <row r="41" spans="1:41" ht="14">
      <c r="A41" s="18"/>
      <c r="B41" s="39"/>
      <c r="C41" s="28"/>
      <c r="D41" s="40"/>
      <c r="F41" s="41">
        <v>2003.2</v>
      </c>
      <c r="G41" s="21">
        <v>8.9361807357431378</v>
      </c>
      <c r="H41" s="31">
        <f t="shared" si="31"/>
        <v>4.460952843322253E-3</v>
      </c>
      <c r="I41" s="4">
        <f>H41*E36</f>
        <v>590.90450505573062</v>
      </c>
      <c r="J41" s="37">
        <f t="shared" si="32"/>
        <v>7.5035492705489606E-2</v>
      </c>
      <c r="K41" s="33"/>
      <c r="L41" s="21">
        <v>195.12722062076784</v>
      </c>
      <c r="M41" s="36">
        <f t="shared" si="33"/>
        <v>9.7407757897747527E-2</v>
      </c>
      <c r="N41" s="4">
        <f t="shared" si="34"/>
        <v>12902.777722772484</v>
      </c>
      <c r="O41" s="37">
        <f t="shared" si="35"/>
        <v>1.638447964796506</v>
      </c>
      <c r="P41" s="33"/>
      <c r="Q41" s="34">
        <f t="shared" si="36"/>
        <v>25.463762476721069</v>
      </c>
      <c r="R41" s="1"/>
      <c r="S41" s="21">
        <v>16.997467869690244</v>
      </c>
      <c r="T41" s="38">
        <f t="shared" si="37"/>
        <v>8.4851576825530368E-3</v>
      </c>
      <c r="U41" s="24">
        <f t="shared" si="38"/>
        <v>1123.956714367499</v>
      </c>
      <c r="V41" s="37">
        <f t="shared" si="39"/>
        <v>0.14272466214190463</v>
      </c>
      <c r="X41" s="37">
        <f t="shared" si="40"/>
        <v>1.0380322746274484</v>
      </c>
      <c r="Y41" s="37">
        <f t="shared" ref="Y41:Y43" si="45">(M41/12.011)/(T41/1.00794)</f>
        <v>0.96336118292555195</v>
      </c>
      <c r="AA41" s="47"/>
      <c r="AB41" s="46"/>
      <c r="AC41" s="31"/>
      <c r="AD41" s="4"/>
      <c r="AE41" s="44"/>
      <c r="AF41" s="44"/>
      <c r="AG41" s="118"/>
      <c r="AH41" s="46"/>
      <c r="AI41" s="31"/>
      <c r="AJ41" s="4"/>
      <c r="AK41" s="44"/>
      <c r="AL41" s="25" t="s">
        <v>30</v>
      </c>
      <c r="AO41" s="25" t="s">
        <v>30</v>
      </c>
    </row>
    <row r="42" spans="1:41" ht="14">
      <c r="A42" s="18"/>
      <c r="B42" s="39"/>
      <c r="C42" s="28"/>
      <c r="D42" s="40"/>
      <c r="F42" s="41">
        <v>2336.5</v>
      </c>
      <c r="G42" s="21">
        <v>10.396051846037809</v>
      </c>
      <c r="H42" s="31">
        <f t="shared" si="31"/>
        <v>4.4494123030335156E-3</v>
      </c>
      <c r="I42" s="4">
        <f>H42*E36</f>
        <v>589.37582777827402</v>
      </c>
      <c r="J42" s="37">
        <f t="shared" si="32"/>
        <v>7.4841374955971304E-2</v>
      </c>
      <c r="K42" s="33"/>
      <c r="L42" s="21">
        <v>226.87821337663144</v>
      </c>
      <c r="M42" s="36">
        <f t="shared" si="33"/>
        <v>9.7101739086938338E-2</v>
      </c>
      <c r="N42" s="4">
        <f t="shared" si="34"/>
        <v>12862.242012064482</v>
      </c>
      <c r="O42" s="37">
        <f t="shared" si="35"/>
        <v>1.633300572960569</v>
      </c>
      <c r="P42" s="33"/>
      <c r="Q42" s="34">
        <f t="shared" si="36"/>
        <v>25.449603280288443</v>
      </c>
      <c r="R42" s="1"/>
      <c r="S42" s="21">
        <v>20.261882228769828</v>
      </c>
      <c r="T42" s="38">
        <f t="shared" si="37"/>
        <v>8.6718948122276179E-3</v>
      </c>
      <c r="U42" s="24">
        <f t="shared" si="38"/>
        <v>1148.6921946698885</v>
      </c>
      <c r="V42" s="37">
        <f t="shared" si="39"/>
        <v>0.14586567551363663</v>
      </c>
      <c r="X42" s="37">
        <f t="shared" si="40"/>
        <v>1.0642201550295198</v>
      </c>
      <c r="Y42" s="37">
        <f t="shared" si="45"/>
        <v>0.93965519753970606</v>
      </c>
      <c r="AA42" s="47"/>
      <c r="AB42" s="67"/>
      <c r="AC42" s="68">
        <f>AVERAGE(AC38:AC40)</f>
        <v>5.8429733077471506E-2</v>
      </c>
      <c r="AD42" s="4"/>
      <c r="AE42" s="44"/>
      <c r="AF42" s="44"/>
      <c r="AG42" s="118"/>
      <c r="AH42" s="67"/>
      <c r="AI42" s="68"/>
      <c r="AJ42" s="69"/>
      <c r="AK42" s="44"/>
    </row>
    <row r="43" spans="1:41" ht="14">
      <c r="A43" s="18"/>
      <c r="B43" s="39"/>
      <c r="C43" s="28"/>
      <c r="D43" s="40"/>
      <c r="F43" s="41">
        <v>2094.6999999999998</v>
      </c>
      <c r="G43" s="21">
        <v>9.4670429576684718</v>
      </c>
      <c r="H43" s="31">
        <f t="shared" si="31"/>
        <v>4.5195221070647214E-3</v>
      </c>
      <c r="I43" s="4">
        <f>H43*E36</f>
        <v>598.6626775849536</v>
      </c>
      <c r="J43" s="37">
        <f t="shared" si="32"/>
        <v>7.6020657471105216E-2</v>
      </c>
      <c r="K43" s="33"/>
      <c r="L43" s="21">
        <v>204.43438185607442</v>
      </c>
      <c r="M43" s="36">
        <f t="shared" si="33"/>
        <v>9.7596019409020116E-2</v>
      </c>
      <c r="N43" s="4">
        <f t="shared" si="34"/>
        <v>12927.715124947918</v>
      </c>
      <c r="O43" s="37">
        <f t="shared" si="35"/>
        <v>1.6416146190410055</v>
      </c>
      <c r="P43" s="33"/>
      <c r="Q43" s="34">
        <f t="shared" si="36"/>
        <v>25.182349642608472</v>
      </c>
      <c r="R43" s="1"/>
      <c r="S43" s="21">
        <v>17.383408483571575</v>
      </c>
      <c r="T43" s="38">
        <f t="shared" si="37"/>
        <v>8.2987580482033595E-3</v>
      </c>
      <c r="U43" s="24">
        <f t="shared" si="38"/>
        <v>1099.2659392020894</v>
      </c>
      <c r="V43" s="37">
        <f t="shared" si="39"/>
        <v>0.13958932561296372</v>
      </c>
      <c r="X43" s="37">
        <f t="shared" si="40"/>
        <v>1.0132706998898358</v>
      </c>
      <c r="Y43" s="37">
        <f t="shared" si="45"/>
        <v>0.98690310507223922</v>
      </c>
      <c r="Z43" s="37"/>
      <c r="AA43" s="41"/>
      <c r="AB43" s="46"/>
      <c r="AC43" s="31"/>
      <c r="AD43" s="4"/>
      <c r="AE43" s="44"/>
      <c r="AF43" s="44"/>
      <c r="AG43" s="119"/>
      <c r="AH43" s="46"/>
      <c r="AI43" s="31"/>
      <c r="AJ43" s="4"/>
      <c r="AK43" s="44"/>
    </row>
    <row r="44" spans="1:41" ht="14">
      <c r="A44" s="18"/>
      <c r="B44" s="39"/>
      <c r="C44" s="28"/>
      <c r="D44" s="40"/>
      <c r="G44" s="30"/>
      <c r="H44" s="31"/>
      <c r="I44" s="4"/>
      <c r="J44" s="32"/>
      <c r="K44" s="33"/>
      <c r="L44" s="35"/>
      <c r="M44" s="36"/>
      <c r="N44" s="4"/>
      <c r="O44" s="32"/>
      <c r="P44" s="33"/>
      <c r="Q44" s="34"/>
      <c r="R44" s="1"/>
      <c r="S44" s="37"/>
      <c r="T44" s="38"/>
      <c r="U44" s="24"/>
      <c r="V44" s="32"/>
      <c r="AA44" s="41"/>
      <c r="AB44" s="32"/>
      <c r="AC44" s="31"/>
      <c r="AD44" s="4"/>
      <c r="AE44" s="37"/>
      <c r="AF44" s="37"/>
      <c r="AG44" s="119"/>
      <c r="AH44" s="32"/>
      <c r="AI44" s="31"/>
      <c r="AJ44" s="4"/>
      <c r="AK44" s="37"/>
    </row>
    <row r="45" spans="1:41">
      <c r="A45" s="18"/>
      <c r="B45" s="18"/>
      <c r="C45" s="28"/>
      <c r="D45" s="33"/>
      <c r="G45" s="72"/>
      <c r="H45" s="73"/>
      <c r="I45" s="8"/>
      <c r="J45" s="32"/>
      <c r="K45" s="33"/>
      <c r="L45" s="74"/>
      <c r="M45" s="75"/>
      <c r="N45" s="76"/>
      <c r="O45" s="32"/>
      <c r="P45" s="33"/>
      <c r="Q45" s="34"/>
      <c r="R45" s="1"/>
      <c r="S45" s="37"/>
      <c r="T45" s="38"/>
      <c r="U45" s="24"/>
      <c r="V45" s="32"/>
      <c r="AA45" s="41"/>
      <c r="AB45" s="32"/>
      <c r="AC45" s="31"/>
      <c r="AD45" s="4"/>
      <c r="AE45" s="37"/>
      <c r="AF45" s="37"/>
      <c r="AG45" s="119"/>
      <c r="AH45" s="32"/>
      <c r="AI45" s="31"/>
      <c r="AJ45" s="4"/>
      <c r="AK45" s="37"/>
    </row>
    <row r="46" spans="1:41">
      <c r="A46" s="18"/>
      <c r="B46" s="77" t="s">
        <v>27</v>
      </c>
      <c r="C46" s="78"/>
      <c r="D46" s="33"/>
      <c r="G46" s="79"/>
      <c r="H46" s="75"/>
      <c r="I46" s="76"/>
      <c r="J46" s="37">
        <f>AVERAGE(J38:J43)</f>
        <v>7.6704427114570539E-2</v>
      </c>
      <c r="K46" s="24"/>
      <c r="L46" s="74"/>
      <c r="M46" s="75"/>
      <c r="N46" s="76"/>
      <c r="O46" s="37">
        <f>AVERAGE(O38:O43)</f>
        <v>1.6514699053088735</v>
      </c>
      <c r="P46" s="19"/>
      <c r="Q46" s="37">
        <f>AVERAGE(Q38:Q43)</f>
        <v>25.173934995713051</v>
      </c>
      <c r="S46" s="37"/>
      <c r="T46" s="38"/>
      <c r="U46" s="24"/>
      <c r="V46" s="37">
        <f>AVERAGE(V38:V43)</f>
        <v>0.1394744664028956</v>
      </c>
      <c r="X46" s="37">
        <f>AVERAGE(X38:X43)</f>
        <v>1.00683140826059</v>
      </c>
      <c r="Y46" s="37">
        <f>AVERAGE(Y38:Y43)</f>
        <v>0.99517763817841887</v>
      </c>
      <c r="AA46" s="41"/>
      <c r="AB46" s="43"/>
      <c r="AC46" s="73"/>
      <c r="AD46" s="8"/>
      <c r="AE46" s="44">
        <f>AVERAGE(AE38:AE40)</f>
        <v>0.98281778895764971</v>
      </c>
      <c r="AF46" s="32"/>
      <c r="AG46" s="33"/>
      <c r="AH46" s="72"/>
      <c r="AI46" s="44">
        <f>AVERAGE(AI38:AI40)</f>
        <v>1.7879572587407584E-3</v>
      </c>
      <c r="AJ46" s="8"/>
      <c r="AK46" s="38">
        <f>AVERAGE(AK38:AK40)</f>
        <v>3.1747386116446237E-2</v>
      </c>
      <c r="AL46" s="37">
        <f>O46-AE46</f>
        <v>0.66865211635122379</v>
      </c>
      <c r="AM46" s="111">
        <f>AE46/O46</f>
        <v>0.59511698384466405</v>
      </c>
      <c r="AN46" s="111">
        <f>AK46/O46</f>
        <v>1.9223714591704015E-2</v>
      </c>
      <c r="AO46" s="37">
        <f>AL46-AK46</f>
        <v>0.63690473023477756</v>
      </c>
    </row>
    <row r="47" spans="1:41">
      <c r="A47" s="18"/>
      <c r="B47" s="77" t="s">
        <v>29</v>
      </c>
      <c r="C47" s="78"/>
      <c r="D47" s="33"/>
      <c r="G47" s="79"/>
      <c r="H47" s="75"/>
      <c r="I47" s="76"/>
      <c r="J47" s="46">
        <f>STDEV(J38:J43)</f>
        <v>5.2915934839742485E-3</v>
      </c>
      <c r="K47" s="46"/>
      <c r="L47" s="75"/>
      <c r="M47" s="75"/>
      <c r="N47" s="75"/>
      <c r="O47" s="46">
        <f>STDEV(O38:O43)</f>
        <v>3.2242899812371245E-2</v>
      </c>
      <c r="P47" s="46"/>
      <c r="Q47" s="46">
        <f>STDEV(Q38:Q43)</f>
        <v>1.1655871759508207</v>
      </c>
      <c r="R47" s="22"/>
      <c r="S47" s="38"/>
      <c r="T47" s="38"/>
      <c r="U47" s="38"/>
      <c r="V47" s="46">
        <f>STDEV(V38:V43)</f>
        <v>5.6503763766997993E-3</v>
      </c>
      <c r="W47" s="22"/>
      <c r="X47" s="46">
        <f>STDEV(X38:X43)</f>
        <v>4.8446683167470889E-2</v>
      </c>
      <c r="Y47" s="46">
        <f>STDEV(Y38:Y43)</f>
        <v>4.8980397696755697E-2</v>
      </c>
      <c r="AA47" s="41"/>
      <c r="AB47" s="43"/>
      <c r="AC47" s="75"/>
      <c r="AD47" s="76"/>
      <c r="AE47" s="46">
        <f>STDEV(AE38:AE40)</f>
        <v>9.9555337099364698E-3</v>
      </c>
      <c r="AF47" s="44"/>
      <c r="AG47" s="33"/>
      <c r="AH47" s="79"/>
      <c r="AI47" s="46">
        <f>STDEV(AI38:AI40)</f>
        <v>1.2165131717278365E-4</v>
      </c>
      <c r="AJ47" s="76"/>
      <c r="AK47" s="46">
        <f>STDEV(AK38:AK40)</f>
        <v>2.1600691621558579E-3</v>
      </c>
      <c r="AL47" s="37"/>
      <c r="AM47" s="44"/>
      <c r="AN47" s="44"/>
    </row>
    <row r="48" spans="1:41">
      <c r="A48" s="18"/>
      <c r="B48" s="77" t="s">
        <v>31</v>
      </c>
      <c r="C48" s="78"/>
      <c r="D48" s="33"/>
      <c r="G48" s="79"/>
      <c r="H48" s="75"/>
      <c r="I48" s="76"/>
      <c r="J48" s="80">
        <f>COUNT(J38:J43)</f>
        <v>6</v>
      </c>
      <c r="K48" s="80"/>
      <c r="L48" s="74"/>
      <c r="M48" s="75"/>
      <c r="N48" s="81"/>
      <c r="O48" s="80">
        <f>COUNT(O38:O43)</f>
        <v>6</v>
      </c>
      <c r="P48" s="80"/>
      <c r="Q48" s="80">
        <f>COUNT(Q38:Q43)</f>
        <v>6</v>
      </c>
      <c r="S48" s="37"/>
      <c r="T48" s="38"/>
      <c r="U48" s="24"/>
      <c r="V48" s="80">
        <f>COUNT(V38:V43)</f>
        <v>6</v>
      </c>
      <c r="X48" s="80">
        <f>COUNT(X38:X43)</f>
        <v>6</v>
      </c>
      <c r="Y48" s="80">
        <f>COUNT(Y38:Y43)</f>
        <v>6</v>
      </c>
      <c r="AA48" s="41"/>
      <c r="AB48" s="43"/>
      <c r="AC48" s="75"/>
      <c r="AD48" s="76"/>
      <c r="AE48" s="80">
        <f>COUNT(AE38:AE40)</f>
        <v>3</v>
      </c>
      <c r="AF48" s="46"/>
      <c r="AG48" s="33"/>
      <c r="AH48" s="79"/>
      <c r="AI48" s="80">
        <f>COUNT(AI38:AI40)</f>
        <v>3</v>
      </c>
      <c r="AJ48" s="76"/>
      <c r="AK48" s="80">
        <f>COUNT(AK38:AK40)</f>
        <v>3</v>
      </c>
      <c r="AL48" s="46"/>
      <c r="AM48" s="46"/>
      <c r="AN48" s="46"/>
    </row>
    <row r="49" spans="1:42">
      <c r="A49" s="18"/>
      <c r="B49" s="77" t="s">
        <v>32</v>
      </c>
      <c r="C49" s="78"/>
      <c r="D49" s="33"/>
      <c r="G49" s="79"/>
      <c r="H49" s="75"/>
      <c r="I49" s="76"/>
      <c r="J49" s="82">
        <f>J47/J46</f>
        <v>6.8986806668543302E-2</v>
      </c>
      <c r="K49" s="82"/>
      <c r="L49" s="83"/>
      <c r="M49" s="84"/>
      <c r="N49" s="85"/>
      <c r="O49" s="82">
        <f>O47/O46</f>
        <v>1.9523758627827296E-2</v>
      </c>
      <c r="P49" s="86"/>
      <c r="Q49" s="82">
        <f>Q47/Q46</f>
        <v>4.630135003325115E-2</v>
      </c>
      <c r="S49" s="37"/>
      <c r="T49" s="38"/>
      <c r="U49" s="24"/>
      <c r="V49" s="82">
        <f>V47/V46</f>
        <v>4.0511905314466169E-2</v>
      </c>
      <c r="X49" s="82">
        <f>X47/X46</f>
        <v>4.8117969671970968E-2</v>
      </c>
      <c r="Y49" s="82">
        <f>Y47/Y46</f>
        <v>4.9217743463779801E-2</v>
      </c>
      <c r="AA49" s="19"/>
      <c r="AB49" s="79"/>
      <c r="AC49" s="75"/>
      <c r="AD49" s="76"/>
      <c r="AE49" s="82">
        <f>AE47/AE46</f>
        <v>1.0129582331324143E-2</v>
      </c>
      <c r="AF49" s="80"/>
      <c r="AG49" s="33"/>
      <c r="AH49" s="79"/>
      <c r="AI49" s="82">
        <f>AI47/AI46</f>
        <v>6.8039275870868152E-2</v>
      </c>
      <c r="AJ49" s="76"/>
      <c r="AK49" s="82">
        <f>AK47/AK46</f>
        <v>6.8039275870868249E-2</v>
      </c>
      <c r="AL49" s="80"/>
      <c r="AM49" s="80"/>
      <c r="AN49" s="80"/>
    </row>
    <row r="50" spans="1:42">
      <c r="AA50" s="19"/>
      <c r="AB50" s="79"/>
      <c r="AC50" s="75"/>
      <c r="AD50" s="76"/>
      <c r="AE50" s="82"/>
      <c r="AF50" s="82"/>
      <c r="AG50" s="33"/>
      <c r="AH50" s="79"/>
      <c r="AI50" s="75"/>
      <c r="AJ50" s="76"/>
      <c r="AK50" s="82"/>
      <c r="AL50" s="82"/>
      <c r="AM50" s="82"/>
      <c r="AN50" s="82"/>
    </row>
    <row r="51" spans="1:42">
      <c r="AG51" s="116"/>
    </row>
    <row r="52" spans="1:42" ht="17">
      <c r="A52" s="26" t="s">
        <v>35</v>
      </c>
      <c r="B52" s="27" t="s">
        <v>36</v>
      </c>
      <c r="C52" s="28">
        <v>15.75</v>
      </c>
      <c r="D52" s="29">
        <v>684.06730000000005</v>
      </c>
      <c r="E52" s="19">
        <f>D52*1000</f>
        <v>684067.3</v>
      </c>
      <c r="G52" s="94"/>
      <c r="H52" s="95"/>
      <c r="I52" s="96"/>
      <c r="J52" s="32"/>
      <c r="K52" s="33"/>
      <c r="L52" s="97"/>
      <c r="M52" s="98"/>
      <c r="N52" s="96"/>
      <c r="O52" s="19"/>
      <c r="P52" s="33"/>
      <c r="Q52" s="34"/>
      <c r="R52" s="1"/>
      <c r="S52" s="37"/>
      <c r="T52" s="38"/>
      <c r="U52" s="24"/>
      <c r="V52" s="25"/>
      <c r="AG52" s="120"/>
    </row>
    <row r="53" spans="1:42" ht="14">
      <c r="A53" s="18"/>
      <c r="B53" s="39"/>
      <c r="C53" s="28"/>
      <c r="D53" s="40"/>
      <c r="G53" s="94"/>
      <c r="H53" s="95"/>
      <c r="I53" s="96"/>
      <c r="J53" s="32"/>
      <c r="K53" s="33"/>
      <c r="L53" s="97"/>
      <c r="M53" s="98"/>
      <c r="N53" s="96"/>
      <c r="O53" s="19"/>
      <c r="P53" s="33"/>
      <c r="Q53" s="34"/>
      <c r="R53" s="1"/>
      <c r="S53" s="37"/>
      <c r="T53" s="38"/>
      <c r="U53" s="24"/>
      <c r="V53" s="25"/>
      <c r="AG53" s="116"/>
    </row>
    <row r="54" spans="1:42" ht="14">
      <c r="A54" s="18"/>
      <c r="B54" s="39"/>
      <c r="C54" s="28"/>
      <c r="D54" s="40"/>
      <c r="F54" s="41">
        <v>2541.4</v>
      </c>
      <c r="G54" s="21">
        <v>41.728951662201609</v>
      </c>
      <c r="H54" s="95">
        <f t="shared" ref="H54:H59" si="46">G54/F54</f>
        <v>1.6419670914535927E-2</v>
      </c>
      <c r="I54" s="96">
        <f>H54*E52</f>
        <v>11232.159949395123</v>
      </c>
      <c r="J54" s="37">
        <f t="shared" ref="J54:J59" si="47">I54/1000/(0.5)/(C$52)</f>
        <v>1.4263060253200157</v>
      </c>
      <c r="K54" s="33"/>
      <c r="L54" s="21">
        <v>494.42214555573065</v>
      </c>
      <c r="M54" s="98">
        <f t="shared" ref="M54:M59" si="48">L54/F54</f>
        <v>0.19454715729744654</v>
      </c>
      <c r="N54" s="96">
        <f t="shared" ref="N54:N59" si="49">M54*E$52</f>
        <v>133083.34861513955</v>
      </c>
      <c r="O54" s="37">
        <f t="shared" ref="O54:O59" si="50">N54/1000/(0.5)/C$52</f>
        <v>16.899472840017722</v>
      </c>
      <c r="P54" s="33"/>
      <c r="Q54" s="34">
        <f t="shared" ref="Q54:Q59" si="51">(M54/12.011)/(H54/14.0067)</f>
        <v>13.817106356533776</v>
      </c>
      <c r="R54" s="1"/>
      <c r="S54" s="21">
        <v>68.183217181180098</v>
      </c>
      <c r="T54" s="38">
        <f t="shared" ref="T54:T59" si="52">S54/F54</f>
        <v>2.682899865474939E-2</v>
      </c>
      <c r="U54" s="24">
        <f t="shared" ref="U54:U59" si="53">T54*E$52</f>
        <v>18352.840671458049</v>
      </c>
      <c r="V54" s="37">
        <f t="shared" ref="V54:V59" si="54">U54/1000/(0.5)/C$52</f>
        <v>2.3305194503438789</v>
      </c>
      <c r="X54" s="37">
        <f t="shared" ref="X54:X59" si="55">(T54/1.00794)/(M54/12.011)</f>
        <v>1.6433272651153084</v>
      </c>
      <c r="Y54" s="37">
        <f t="shared" ref="Y54:Y59" si="56">(M54/12.011)/(T54/1.00794)</f>
        <v>0.60852151682022526</v>
      </c>
      <c r="AA54" s="45">
        <v>197.1</v>
      </c>
      <c r="AB54" s="32">
        <v>6.2125496041134518</v>
      </c>
      <c r="AC54" s="31">
        <f t="shared" ref="AC54:AC56" si="57">AB54/AA54</f>
        <v>3.1519784901641056E-2</v>
      </c>
      <c r="AD54" s="4">
        <f>AC54*$E$52</f>
        <v>21561.654154246364</v>
      </c>
      <c r="AE54" s="44">
        <f>AD54/1000/(0.5)/(C$52)</f>
        <v>2.737987829110649</v>
      </c>
      <c r="AF54" s="44"/>
      <c r="AG54" s="124">
        <v>4731.6000000000004</v>
      </c>
      <c r="AH54" s="32">
        <v>25.454109978032086</v>
      </c>
      <c r="AI54" s="31">
        <v>5.3795988625479933E-3</v>
      </c>
      <c r="AJ54" s="4">
        <f>AI54*$E$52</f>
        <v>3680.0076689862772</v>
      </c>
      <c r="AK54" s="44">
        <f>AJ54/1000/(0.5)/(C$52)</f>
        <v>0.46730256114111457</v>
      </c>
      <c r="AL54" s="44"/>
      <c r="AM54" s="44"/>
      <c r="AN54" s="44"/>
    </row>
    <row r="55" spans="1:42" ht="14">
      <c r="A55" s="18"/>
      <c r="B55" s="39"/>
      <c r="C55" s="28"/>
      <c r="D55" s="40"/>
      <c r="F55" s="41">
        <v>2402.9</v>
      </c>
      <c r="G55" s="21">
        <v>40.808218292192429</v>
      </c>
      <c r="H55" s="95">
        <f t="shared" si="46"/>
        <v>1.6982903280283169E-2</v>
      </c>
      <c r="I55" s="96">
        <f>H55*E52</f>
        <v>11617.448793104451</v>
      </c>
      <c r="J55" s="37">
        <f t="shared" si="47"/>
        <v>1.4752315927751685</v>
      </c>
      <c r="K55" s="33"/>
      <c r="L55" s="21">
        <v>474.33008059398094</v>
      </c>
      <c r="M55" s="98">
        <f t="shared" si="48"/>
        <v>0.19739900977734443</v>
      </c>
      <c r="N55" s="96">
        <f t="shared" si="49"/>
        <v>135034.2076410616</v>
      </c>
      <c r="O55" s="37">
        <f t="shared" si="50"/>
        <v>17.14720097029354</v>
      </c>
      <c r="P55" s="33"/>
      <c r="Q55" s="34">
        <f t="shared" si="51"/>
        <v>13.554693241447268</v>
      </c>
      <c r="R55" s="1"/>
      <c r="S55" s="21">
        <v>67.476248339439749</v>
      </c>
      <c r="T55" s="38">
        <f t="shared" si="52"/>
        <v>2.8081172058529173E-2</v>
      </c>
      <c r="U55" s="24">
        <f t="shared" si="53"/>
        <v>19209.411550913494</v>
      </c>
      <c r="V55" s="37">
        <f t="shared" si="54"/>
        <v>2.4392903556715546</v>
      </c>
      <c r="X55" s="37">
        <f t="shared" si="55"/>
        <v>1.6951758132855985</v>
      </c>
      <c r="Y55" s="37">
        <f t="shared" si="56"/>
        <v>0.5899093133365293</v>
      </c>
      <c r="AA55" s="45">
        <v>205.3</v>
      </c>
      <c r="AB55" s="32">
        <v>6.3620427326108455</v>
      </c>
      <c r="AC55" s="31">
        <f t="shared" si="57"/>
        <v>3.098900502976544E-2</v>
      </c>
      <c r="AD55" s="4">
        <f t="shared" ref="AD55:AD56" si="58">AC55*$E$52</f>
        <v>21198.565000398066</v>
      </c>
      <c r="AE55" s="44">
        <f>AD55/1000/(0.5)/(C$52)</f>
        <v>2.6918812698918178</v>
      </c>
      <c r="AF55" s="44"/>
      <c r="AG55" s="124">
        <v>5508.5</v>
      </c>
      <c r="AH55" s="32">
        <v>28.417279269367882</v>
      </c>
      <c r="AI55" s="31">
        <v>5.158805349799016E-3</v>
      </c>
      <c r="AJ55" s="4">
        <f t="shared" ref="AJ55:AJ56" si="59">AI55*$E$52</f>
        <v>3528.9700468625688</v>
      </c>
      <c r="AK55" s="44">
        <f>AJ55/1000/(0.5)/(C$52)</f>
        <v>0.44812318055397699</v>
      </c>
      <c r="AL55" s="113" t="s">
        <v>28</v>
      </c>
      <c r="AM55" s="113" t="s">
        <v>37</v>
      </c>
      <c r="AN55" s="113" t="s">
        <v>38</v>
      </c>
      <c r="AO55" s="113" t="s">
        <v>39</v>
      </c>
    </row>
    <row r="56" spans="1:42" ht="14">
      <c r="A56" s="18"/>
      <c r="B56" s="39"/>
      <c r="C56" s="28"/>
      <c r="D56" s="40"/>
      <c r="F56" s="41">
        <v>2546.4</v>
      </c>
      <c r="G56" s="21">
        <v>41.465884985056128</v>
      </c>
      <c r="H56" s="95">
        <f t="shared" si="46"/>
        <v>1.6284120713578435E-2</v>
      </c>
      <c r="I56" s="96">
        <f>H56*E52</f>
        <v>11139.434489411675</v>
      </c>
      <c r="J56" s="37">
        <f t="shared" si="47"/>
        <v>1.4145313637348158</v>
      </c>
      <c r="K56" s="33"/>
      <c r="L56" s="21">
        <v>494.90629169938728</v>
      </c>
      <c r="M56" s="98">
        <f t="shared" si="48"/>
        <v>0.19435528263406662</v>
      </c>
      <c r="N56" s="96">
        <f t="shared" si="49"/>
        <v>132952.09343222284</v>
      </c>
      <c r="O56" s="37">
        <f t="shared" si="50"/>
        <v>16.8828055152029</v>
      </c>
      <c r="P56" s="33"/>
      <c r="Q56" s="34">
        <f t="shared" si="51"/>
        <v>13.918380215761475</v>
      </c>
      <c r="R56" s="1"/>
      <c r="S56" s="21">
        <v>68.371742205644182</v>
      </c>
      <c r="T56" s="38">
        <f t="shared" si="52"/>
        <v>2.6850354306332147E-2</v>
      </c>
      <c r="U56" s="24">
        <f t="shared" si="53"/>
        <v>18367.449374376007</v>
      </c>
      <c r="V56" s="37">
        <f t="shared" si="54"/>
        <v>2.3323745237302869</v>
      </c>
      <c r="X56" s="37">
        <f t="shared" si="55"/>
        <v>1.6462589837752812</v>
      </c>
      <c r="Y56" s="37">
        <f t="shared" si="56"/>
        <v>0.6074378392801546</v>
      </c>
      <c r="AA56" s="45">
        <v>158.9</v>
      </c>
      <c r="AB56" s="37">
        <v>4.970320226741868</v>
      </c>
      <c r="AC56" s="31">
        <f t="shared" si="57"/>
        <v>3.1279548311780161E-2</v>
      </c>
      <c r="AD56" s="4">
        <f t="shared" si="58"/>
        <v>21397.316158859016</v>
      </c>
      <c r="AE56" s="44">
        <f>AD56/1000/(0.5)/(C$52)</f>
        <v>2.7171195122360654</v>
      </c>
      <c r="AF56" s="44"/>
      <c r="AG56" s="124">
        <v>5700.3</v>
      </c>
      <c r="AH56" s="34">
        <v>27.737207628733437</v>
      </c>
      <c r="AI56" s="31">
        <v>4.865920675882574E-3</v>
      </c>
      <c r="AJ56" s="4">
        <f t="shared" si="59"/>
        <v>3328.6172187651678</v>
      </c>
      <c r="AK56" s="44">
        <f>AJ56/1000/(0.5)/(C$52)</f>
        <v>0.42268155158922766</v>
      </c>
      <c r="AL56" s="113" t="s">
        <v>30</v>
      </c>
      <c r="AM56" s="114"/>
      <c r="AN56" s="114"/>
      <c r="AO56" s="113" t="s">
        <v>30</v>
      </c>
    </row>
    <row r="57" spans="1:42" ht="14">
      <c r="A57" s="18"/>
      <c r="B57" s="39"/>
      <c r="C57" s="28"/>
      <c r="D57" s="40"/>
      <c r="F57" s="41">
        <v>2429.4</v>
      </c>
      <c r="G57" s="21">
        <v>39.887484922183255</v>
      </c>
      <c r="H57" s="95">
        <f t="shared" si="46"/>
        <v>1.6418656837977795E-2</v>
      </c>
      <c r="I57" s="96">
        <f>H57*E52</f>
        <v>11231.466252782009</v>
      </c>
      <c r="J57" s="37">
        <f t="shared" si="47"/>
        <v>1.4262179368612076</v>
      </c>
      <c r="K57" s="33"/>
      <c r="L57" s="21">
        <v>475.54044595312251</v>
      </c>
      <c r="M57" s="98">
        <f t="shared" si="48"/>
        <v>0.19574398861987424</v>
      </c>
      <c r="N57" s="96">
        <f t="shared" si="49"/>
        <v>133902.06178642812</v>
      </c>
      <c r="O57" s="37">
        <f t="shared" si="50"/>
        <v>17.003436417324206</v>
      </c>
      <c r="P57" s="33"/>
      <c r="Q57" s="34">
        <f t="shared" si="51"/>
        <v>13.902966221533976</v>
      </c>
      <c r="R57" s="1"/>
      <c r="S57" s="21">
        <v>65.983758562432357</v>
      </c>
      <c r="T57" s="38">
        <f t="shared" si="52"/>
        <v>2.7160516408344593E-2</v>
      </c>
      <c r="U57" s="24">
        <f t="shared" si="53"/>
        <v>18579.621126061986</v>
      </c>
      <c r="V57" s="37">
        <f t="shared" si="54"/>
        <v>2.3593169683888235</v>
      </c>
      <c r="X57" s="37">
        <f t="shared" si="55"/>
        <v>1.653461457718082</v>
      </c>
      <c r="Y57" s="37">
        <f t="shared" si="56"/>
        <v>0.60479184158310251</v>
      </c>
      <c r="AA57" s="47"/>
      <c r="AB57" s="43"/>
      <c r="AC57" s="31"/>
      <c r="AD57" s="4"/>
      <c r="AE57" s="44"/>
      <c r="AF57" s="44"/>
      <c r="AG57" s="118"/>
      <c r="AH57" s="43"/>
      <c r="AI57" s="122"/>
      <c r="AJ57" s="4"/>
      <c r="AK57" s="44"/>
      <c r="AL57" s="114"/>
      <c r="AM57" s="114"/>
      <c r="AN57" s="114"/>
      <c r="AO57" s="114"/>
    </row>
    <row r="58" spans="1:42" ht="14">
      <c r="A58" s="18"/>
      <c r="B58" s="39"/>
      <c r="C58" s="28"/>
      <c r="D58" s="40"/>
      <c r="F58" s="41">
        <v>2142.4</v>
      </c>
      <c r="G58" s="21">
        <v>35.02075139499189</v>
      </c>
      <c r="H58" s="95">
        <f t="shared" si="46"/>
        <v>1.6346504571971569E-2</v>
      </c>
      <c r="I58" s="96">
        <f>H58*E52</f>
        <v>11182.109246986247</v>
      </c>
      <c r="J58" s="37">
        <f t="shared" si="47"/>
        <v>1.4199503805696823</v>
      </c>
      <c r="K58" s="33"/>
      <c r="L58" s="21">
        <v>417.8302256292535</v>
      </c>
      <c r="M58" s="98">
        <f t="shared" si="48"/>
        <v>0.19502904482321393</v>
      </c>
      <c r="N58" s="96">
        <f t="shared" si="49"/>
        <v>133412.99211379493</v>
      </c>
      <c r="O58" s="37">
        <f t="shared" si="50"/>
        <v>16.941332331910466</v>
      </c>
      <c r="P58" s="33"/>
      <c r="Q58" s="34">
        <f t="shared" si="51"/>
        <v>13.913328956961776</v>
      </c>
      <c r="R58" s="1"/>
      <c r="S58" s="21">
        <v>56.99739906297728</v>
      </c>
      <c r="T58" s="38">
        <f t="shared" si="52"/>
        <v>2.6604461847916951E-2</v>
      </c>
      <c r="U58" s="24">
        <f t="shared" si="53"/>
        <v>18199.242384257559</v>
      </c>
      <c r="V58" s="37">
        <f t="shared" si="54"/>
        <v>2.3110149059374678</v>
      </c>
      <c r="X58" s="37">
        <f t="shared" si="55"/>
        <v>1.6255475251515128</v>
      </c>
      <c r="Y58" s="37">
        <f t="shared" si="56"/>
        <v>0.61517733842127609</v>
      </c>
      <c r="AA58" s="47"/>
      <c r="AB58" s="43"/>
      <c r="AC58" s="68">
        <f>AVERAGE(AC54:AC56)</f>
        <v>3.126277941439555E-2</v>
      </c>
      <c r="AD58" s="4"/>
      <c r="AE58" s="44"/>
      <c r="AF58" s="44"/>
      <c r="AG58" s="120"/>
      <c r="AH58" s="43"/>
      <c r="AI58" s="68"/>
      <c r="AJ58" s="4"/>
      <c r="AK58" s="44"/>
      <c r="AL58" s="114"/>
      <c r="AM58" s="114"/>
      <c r="AN58" s="114"/>
      <c r="AO58" s="114"/>
    </row>
    <row r="59" spans="1:42" ht="14">
      <c r="A59" s="18"/>
      <c r="B59" s="39"/>
      <c r="C59" s="28"/>
      <c r="D59" s="40"/>
      <c r="F59" s="41">
        <v>2095.5</v>
      </c>
      <c r="G59" s="21">
        <v>34.363084702128198</v>
      </c>
      <c r="H59" s="95">
        <f t="shared" si="46"/>
        <v>1.6398513339121068E-2</v>
      </c>
      <c r="I59" s="96">
        <f>H59*E52</f>
        <v>11217.686743906534</v>
      </c>
      <c r="J59" s="37">
        <f t="shared" si="47"/>
        <v>1.4244681579563852</v>
      </c>
      <c r="K59" s="33"/>
      <c r="L59" s="21">
        <v>409.50291195835968</v>
      </c>
      <c r="M59" s="98">
        <f t="shared" si="48"/>
        <v>0.19542014409847752</v>
      </c>
      <c r="N59" s="96">
        <f t="shared" si="49"/>
        <v>133680.53033905645</v>
      </c>
      <c r="O59" s="37">
        <f t="shared" si="50"/>
        <v>16.975305439880184</v>
      </c>
      <c r="P59" s="33"/>
      <c r="Q59" s="34">
        <f t="shared" si="51"/>
        <v>13.897014532307994</v>
      </c>
      <c r="R59" s="1"/>
      <c r="S59" s="21">
        <v>55.897669753603402</v>
      </c>
      <c r="T59" s="38">
        <f t="shared" si="52"/>
        <v>2.6675098904129516E-2</v>
      </c>
      <c r="U59" s="24">
        <f t="shared" si="53"/>
        <v>18247.562884580839</v>
      </c>
      <c r="V59" s="37">
        <f t="shared" si="54"/>
        <v>2.3171508424864555</v>
      </c>
      <c r="X59" s="37">
        <f t="shared" si="55"/>
        <v>1.626601601854716</v>
      </c>
      <c r="Y59" s="37">
        <f t="shared" si="56"/>
        <v>0.61477868880724085</v>
      </c>
      <c r="AA59" s="47"/>
      <c r="AB59" s="43"/>
      <c r="AC59" s="31"/>
      <c r="AD59" s="4"/>
      <c r="AE59" s="44"/>
      <c r="AF59" s="44"/>
      <c r="AG59" s="118"/>
      <c r="AH59" s="43"/>
      <c r="AI59" s="31"/>
      <c r="AJ59" s="4"/>
      <c r="AK59" s="44"/>
      <c r="AL59" s="114"/>
      <c r="AM59" s="114"/>
      <c r="AN59" s="114"/>
      <c r="AO59" s="114"/>
    </row>
    <row r="60" spans="1:42">
      <c r="A60" s="18"/>
      <c r="B60" s="18"/>
      <c r="C60" s="28"/>
      <c r="D60" s="33"/>
      <c r="G60" s="72"/>
      <c r="H60" s="73"/>
      <c r="I60" s="8"/>
      <c r="J60" s="32"/>
      <c r="K60" s="33"/>
      <c r="L60" s="74"/>
      <c r="M60" s="75"/>
      <c r="N60" s="76"/>
      <c r="O60" s="32"/>
      <c r="P60" s="33"/>
      <c r="Q60" s="34"/>
      <c r="R60" s="1"/>
      <c r="S60" s="37"/>
      <c r="T60" s="38"/>
      <c r="U60" s="24"/>
      <c r="V60" s="32"/>
      <c r="AA60" s="41"/>
      <c r="AB60" s="43"/>
      <c r="AC60" s="31"/>
      <c r="AD60" s="4"/>
      <c r="AE60" s="37"/>
      <c r="AF60" s="37"/>
      <c r="AG60" s="119"/>
      <c r="AH60" s="43"/>
      <c r="AI60" s="31"/>
      <c r="AJ60" s="4"/>
      <c r="AK60" s="121"/>
      <c r="AL60" s="114"/>
      <c r="AM60" s="114"/>
      <c r="AN60" s="114"/>
      <c r="AO60" s="114"/>
    </row>
    <row r="61" spans="1:42">
      <c r="A61" s="18"/>
      <c r="B61" s="77" t="s">
        <v>27</v>
      </c>
      <c r="C61" s="78"/>
      <c r="D61" s="33"/>
      <c r="G61" s="79"/>
      <c r="H61" s="75"/>
      <c r="I61" s="76"/>
      <c r="J61" s="37">
        <f>AVERAGE(J54:J59)</f>
        <v>1.4311175762028794</v>
      </c>
      <c r="K61" s="24"/>
      <c r="L61" s="74"/>
      <c r="M61" s="75"/>
      <c r="N61" s="76"/>
      <c r="O61" s="37">
        <f>AVERAGE(O54:O59)</f>
        <v>16.974925585771505</v>
      </c>
      <c r="P61" s="19"/>
      <c r="Q61" s="37">
        <f>AVERAGE(Q54:Q59)</f>
        <v>13.833914920757712</v>
      </c>
      <c r="S61" s="37"/>
      <c r="T61" s="38"/>
      <c r="U61" s="24"/>
      <c r="V61" s="37">
        <f>AVERAGE(V54:V59)</f>
        <v>2.3482778410930778</v>
      </c>
      <c r="X61" s="37">
        <f>AVERAGE(X54:X59)</f>
        <v>1.6483954411500832</v>
      </c>
      <c r="Y61" s="37">
        <f>AVERAGE(Y54:Y59)</f>
        <v>0.60676942304142145</v>
      </c>
      <c r="AA61" s="41"/>
      <c r="AB61" s="43"/>
      <c r="AC61" s="31"/>
      <c r="AD61" s="4"/>
      <c r="AE61" s="44">
        <f>AVERAGE(AE54:AE56)</f>
        <v>2.715662870412844</v>
      </c>
      <c r="AF61" s="37"/>
      <c r="AG61" s="119"/>
      <c r="AH61" s="43"/>
      <c r="AI61" s="44">
        <f>AVERAGE(AI54:AI56)</f>
        <v>5.134774962743195E-3</v>
      </c>
      <c r="AJ61" s="4"/>
      <c r="AK61" s="38">
        <f>AVERAGE(AK54:AK56)</f>
        <v>0.44603576442810638</v>
      </c>
      <c r="AL61" s="37">
        <f>O61-AE61</f>
        <v>14.259262715358661</v>
      </c>
      <c r="AM61" s="111">
        <f>AE61/O61</f>
        <v>0.15998084095809709</v>
      </c>
      <c r="AN61" s="111">
        <f>AK61/O61</f>
        <v>2.6276154329770759E-2</v>
      </c>
      <c r="AO61" s="37">
        <f>AL61-AK61</f>
        <v>13.813226950930554</v>
      </c>
    </row>
    <row r="62" spans="1:42">
      <c r="A62" s="18"/>
      <c r="B62" s="77" t="s">
        <v>29</v>
      </c>
      <c r="C62" s="78"/>
      <c r="D62" s="33"/>
      <c r="G62" s="79"/>
      <c r="H62" s="75"/>
      <c r="I62" s="76"/>
      <c r="J62" s="32">
        <f>STDEV(J54:J59)</f>
        <v>2.2078167546604473E-2</v>
      </c>
      <c r="K62" s="19"/>
      <c r="L62" s="74"/>
      <c r="M62" s="75"/>
      <c r="N62" s="76"/>
      <c r="O62" s="32">
        <f>STDEV(O54:O59)</f>
        <v>9.5707419634537341E-2</v>
      </c>
      <c r="P62" s="19"/>
      <c r="Q62" s="32">
        <f>STDEV(Q54:Q59)</f>
        <v>0.14173065465960308</v>
      </c>
      <c r="S62" s="37"/>
      <c r="T62" s="38"/>
      <c r="U62" s="24"/>
      <c r="V62" s="32">
        <f>STDEV(V54:V59)</f>
        <v>4.76042696932951E-2</v>
      </c>
      <c r="X62" s="32">
        <f>STDEV(X54:X59)</f>
        <v>2.5461018424832768E-2</v>
      </c>
      <c r="Y62" s="32">
        <f>STDEV(Y54:Y59)</f>
        <v>9.2361476786107476E-3</v>
      </c>
      <c r="AA62" s="41"/>
      <c r="AB62" s="43"/>
      <c r="AC62" s="73"/>
      <c r="AD62" s="8"/>
      <c r="AE62" s="46">
        <f>STDEV(AE54:AE56)</f>
        <v>2.3087768510637093E-2</v>
      </c>
      <c r="AF62" s="32"/>
      <c r="AG62" s="119"/>
      <c r="AH62" s="43"/>
      <c r="AI62" s="46">
        <f>STDEV(AI54:AI56)</f>
        <v>2.5768083842324748E-4</v>
      </c>
      <c r="AJ62" s="8"/>
      <c r="AK62" s="46">
        <f>STDEV(AK54:AK56)</f>
        <v>2.2383623543101867E-2</v>
      </c>
      <c r="AL62" s="37"/>
      <c r="AM62" s="111"/>
      <c r="AN62" s="111"/>
      <c r="AO62" s="37"/>
    </row>
    <row r="63" spans="1:42">
      <c r="A63" s="18"/>
      <c r="B63" s="77" t="s">
        <v>31</v>
      </c>
      <c r="C63" s="78"/>
      <c r="D63" s="33"/>
      <c r="G63" s="79"/>
      <c r="H63" s="75"/>
      <c r="I63" s="76"/>
      <c r="J63" s="80">
        <f>COUNT(J54:J59)</f>
        <v>6</v>
      </c>
      <c r="K63" s="80"/>
      <c r="L63" s="74"/>
      <c r="M63" s="75"/>
      <c r="N63" s="81"/>
      <c r="O63" s="80">
        <f>COUNT(O54:O59)</f>
        <v>6</v>
      </c>
      <c r="P63" s="80"/>
      <c r="Q63" s="80">
        <f>COUNT(Q54:Q59)</f>
        <v>6</v>
      </c>
      <c r="S63" s="37"/>
      <c r="T63" s="38"/>
      <c r="U63" s="24"/>
      <c r="V63" s="80">
        <f>COUNT(V54:V59)</f>
        <v>6</v>
      </c>
      <c r="X63" s="80">
        <f>COUNT(X54:X59)</f>
        <v>6</v>
      </c>
      <c r="Y63" s="80">
        <f>COUNT(Y54:Y59)</f>
        <v>6</v>
      </c>
      <c r="AA63" s="19"/>
      <c r="AB63" s="79"/>
      <c r="AC63" s="75"/>
      <c r="AD63" s="76"/>
      <c r="AE63" s="80">
        <f>COUNT(AE54:AE56)</f>
        <v>3</v>
      </c>
      <c r="AF63" s="44"/>
      <c r="AG63" s="33"/>
      <c r="AH63" s="79"/>
      <c r="AI63" s="80">
        <f>COUNT(AI54:AI56)</f>
        <v>3</v>
      </c>
      <c r="AJ63" s="76"/>
      <c r="AK63" s="80">
        <f>COUNT(AK54:AK56)</f>
        <v>3</v>
      </c>
      <c r="AL63" s="123"/>
      <c r="AM63" s="44"/>
      <c r="AN63" s="44"/>
      <c r="AO63" s="21"/>
      <c r="AP63" s="99"/>
    </row>
    <row r="64" spans="1:42">
      <c r="A64" s="18"/>
      <c r="B64" s="77" t="s">
        <v>32</v>
      </c>
      <c r="C64" s="78"/>
      <c r="D64" s="33"/>
      <c r="G64" s="79"/>
      <c r="H64" s="75"/>
      <c r="I64" s="76"/>
      <c r="J64" s="82">
        <f>J62/J61</f>
        <v>1.5427221294551837E-2</v>
      </c>
      <c r="K64" s="82"/>
      <c r="L64" s="83"/>
      <c r="M64" s="84"/>
      <c r="N64" s="85"/>
      <c r="O64" s="82">
        <f>O62/O61</f>
        <v>5.6381643118812805E-3</v>
      </c>
      <c r="P64" s="86"/>
      <c r="Q64" s="82">
        <f>Q62/Q61</f>
        <v>1.0245158761742638E-2</v>
      </c>
      <c r="S64" s="37"/>
      <c r="T64" s="38"/>
      <c r="U64" s="24"/>
      <c r="V64" s="82">
        <f>V62/V61</f>
        <v>2.0271992036145194E-2</v>
      </c>
      <c r="X64" s="82">
        <f>X62/X61</f>
        <v>1.544594081567506E-2</v>
      </c>
      <c r="Y64" s="82">
        <f>Y62/Y61</f>
        <v>1.5221840995735602E-2</v>
      </c>
      <c r="AA64" s="19"/>
      <c r="AB64" s="79"/>
      <c r="AC64" s="75"/>
      <c r="AD64" s="76"/>
      <c r="AE64" s="82">
        <f>AE62/AE61</f>
        <v>8.5017064386667465E-3</v>
      </c>
      <c r="AF64" s="46"/>
      <c r="AG64" s="33"/>
      <c r="AH64" s="79"/>
      <c r="AI64" s="82">
        <f>AI62/AI61</f>
        <v>5.0183472555841949E-2</v>
      </c>
      <c r="AJ64" s="76"/>
      <c r="AK64" s="82">
        <f>AK62/AK61</f>
        <v>5.0183472555841963E-2</v>
      </c>
      <c r="AL64" s="46"/>
      <c r="AM64" s="46"/>
      <c r="AN64" s="46"/>
    </row>
    <row r="65" spans="27:40">
      <c r="AA65" s="19"/>
      <c r="AB65" s="79"/>
      <c r="AC65" s="75"/>
      <c r="AD65" s="76"/>
      <c r="AE65" s="80"/>
      <c r="AF65" s="80"/>
      <c r="AG65" s="33"/>
      <c r="AH65" s="79"/>
      <c r="AI65" s="75"/>
      <c r="AJ65" s="76"/>
      <c r="AK65" s="80"/>
      <c r="AL65" s="80"/>
      <c r="AM65" s="80"/>
      <c r="AN65" s="80"/>
    </row>
    <row r="66" spans="27:40">
      <c r="AA66" s="19"/>
      <c r="AB66" s="79"/>
      <c r="AC66" s="75"/>
      <c r="AD66" s="76"/>
      <c r="AE66" s="82"/>
      <c r="AF66" s="82"/>
      <c r="AG66" s="33"/>
      <c r="AH66" s="79"/>
      <c r="AI66" s="75"/>
      <c r="AJ66" s="76"/>
      <c r="AK66" s="82"/>
      <c r="AL66" s="82"/>
      <c r="AM66" s="82"/>
      <c r="AN66" s="82"/>
    </row>
    <row r="67" spans="27:40">
      <c r="AG67" s="116"/>
    </row>
    <row r="68" spans="27:40">
      <c r="AG68" s="116"/>
    </row>
    <row r="69" spans="27:40">
      <c r="AG69" s="116"/>
    </row>
  </sheetData>
  <pageMargins left="0.75" right="0.75" top="1" bottom="1" header="0.5" footer="0.5"/>
  <pageSetup orientation="portrait" horizontalDpi="4294967292" verticalDpi="4294967292"/>
  <colBreaks count="1" manualBreakCount="1">
    <brk id="18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AL6 &amp; AL8 FLUX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Grabowski</dc:creator>
  <cp:lastModifiedBy>Eric  Grabowski</cp:lastModifiedBy>
  <dcterms:created xsi:type="dcterms:W3CDTF">2018-10-24T16:28:54Z</dcterms:created>
  <dcterms:modified xsi:type="dcterms:W3CDTF">2019-03-21T19:56:10Z</dcterms:modified>
</cp:coreProperties>
</file>