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20" yWindow="2220" windowWidth="25860" windowHeight="13760" tabRatio="949" activeTab="1"/>
  </bookViews>
  <sheets>
    <sheet name="Cal" sheetId="1" r:id="rId1"/>
    <sheet name="Trim" sheetId="2" r:id="rId2"/>
    <sheet name="Pres cal" sheetId="3" r:id="rId3"/>
    <sheet name="Lead Worksheet" sheetId="4" r:id="rId4"/>
    <sheet name="Ballast" sheetId="5" r:id="rId5"/>
    <sheet name="Tank _ PS notes" sheetId="6" r:id="rId6"/>
    <sheet name="Maint" sheetId="7" r:id="rId7"/>
    <sheet name="Motor Data" sheetId="8" r:id="rId8"/>
    <sheet name="Material" sheetId="9" r:id="rId9"/>
    <sheet name="sg_calib_constants" sheetId="10" r:id="rId10"/>
    <sheet name="CMDFILE" sheetId="11" r:id="rId11"/>
  </sheets>
  <externalReferences>
    <externalReference r:id="rId14"/>
  </externalReferences>
  <definedNames>
    <definedName name="Alum_density">'Material'!$B$3</definedName>
    <definedName name="Bat_Hull_Vol">'Trim'!#REF!</definedName>
    <definedName name="Bat_Hull_Vol_10">'[1]Trim'!#REF!</definedName>
    <definedName name="Bat_Hull_Vol_11">'[1]Trim'!#REF!</definedName>
    <definedName name="batt_roll_angle">'Trim'!$C$34</definedName>
    <definedName name="Brass_Density">'Material'!$B$5</definedName>
    <definedName name="CG">#REF!</definedName>
    <definedName name="CG_2">'Trim'!$C$24</definedName>
    <definedName name="comp_VCB">'Trim'!$C$32</definedName>
    <definedName name="Complete_Fairing_Vol">'Trim'!$C$44</definedName>
    <definedName name="CT_Sail_Vol">'Trim'!$K$272</definedName>
    <definedName name="Dead_Oil_Vol">'Trim'!$R$20</definedName>
    <definedName name="Displaced_Volume">'Trim'!$C$16</definedName>
    <definedName name="Endcap_Ext_Bladder_Vol">'Trim'!#REF!</definedName>
    <definedName name="Endcap_Ext_Bladder_Vol_10">'[1]Trim'!#REF!</definedName>
    <definedName name="Endcap_Ext_Bladder_Vol_11">'[1]Trim'!#REF!</definedName>
    <definedName name="Endcap_Vol">'Trim'!$K$171</definedName>
    <definedName name="Fiberglass_Density">'Material'!$B$8</definedName>
    <definedName name="Fwd_Hull_Vol">'Trim'!#REF!</definedName>
    <definedName name="Fwd_Hull_Vol_10">'[1]Trim'!#REF!</definedName>
    <definedName name="Fwd_Hull_Vol_11">'[1]Trim'!#REF!</definedName>
    <definedName name="Internal_Oil_Vol">'Trim'!$L$20</definedName>
    <definedName name="lcg">#REF!</definedName>
    <definedName name="lcg_2">'Trim'!$C$26</definedName>
    <definedName name="Lead_Density">'Material'!$B$4</definedName>
    <definedName name="Main_Bulkhead_Vol">'Trim'!#REF!</definedName>
    <definedName name="Main_Bulkhead_Vol_10">'[1]Trim'!#REF!</definedName>
    <definedName name="Main_Bulkhead_Vol_11">'[1]Trim'!#REF!</definedName>
    <definedName name="move_mom_VCG">'Trim'!#REF!</definedName>
    <definedName name="move_mom_VCG_10">'[1]Trim'!#REF!</definedName>
    <definedName name="move_mom_VCG_11">'[1]Trim'!#REF!</definedName>
    <definedName name="Neoprene_Density">'Material'!$B$11</definedName>
    <definedName name="Oil_density">'Material'!$B$12</definedName>
    <definedName name="Oil_Specific_Gravity_gm_cc">'Material'!$B$12</definedName>
    <definedName name="Oil_wt">#REF!</definedName>
    <definedName name="Oil_wt_2">'Trim'!$C$165</definedName>
    <definedName name="pi">3.1415</definedName>
    <definedName name="Polypropylene_Density">'Material'!$B$7</definedName>
    <definedName name="_xlnm.Print_Area" localSheetId="0">'Cal'!$A$1:$E$161</definedName>
    <definedName name="_xlnm.Print_Area" localSheetId="6">'Maint'!$A$1:$B$56</definedName>
    <definedName name="_xlnm.Print_Area" localSheetId="5">'Tank _ PS notes'!$A$1:$B$58</definedName>
    <definedName name="_xlnm.Print_Area" localSheetId="1">'Trim'!$A$1:$R$333</definedName>
    <definedName name="PVC_Density">'Material'!$B$10</definedName>
    <definedName name="rho">#REF!</definedName>
    <definedName name="rho_2">'Trim'!$C$18</definedName>
    <definedName name="rho_fairing">#REF!</definedName>
    <definedName name="rho_fairing_2">'Trim'!#REF!</definedName>
    <definedName name="rho_fairing_2_10">'[1]Trim'!#REF!</definedName>
    <definedName name="rho_fairing_2_11">'[1]Trim'!#REF!</definedName>
    <definedName name="Roll">#REF!</definedName>
    <definedName name="Roll_2">'Trim'!$C$35</definedName>
    <definedName name="Roll_5">'Trim'!$C$35</definedName>
    <definedName name="SS_Density">'Material'!$B$6</definedName>
    <definedName name="stern">NA()</definedName>
    <definedName name="stern_2">NA()</definedName>
    <definedName name="stroke">#REF!</definedName>
    <definedName name="stroke_2">'Trim'!$C$27</definedName>
    <definedName name="stroke_5">'Trim'!$C$26</definedName>
    <definedName name="Tot_mom_VCB">'Trim'!$R$53</definedName>
    <definedName name="Tot_mom_VCG">'Trim'!$Q$53</definedName>
    <definedName name="Total_Moment_LCB">'Trim'!$N$53</definedName>
    <definedName name="Total_Moment_LCG">'Trim'!$I$53</definedName>
    <definedName name="Total_Oil_Vol">'Trim'!$C$166</definedName>
    <definedName name="total_scale_weight">'Trim'!$C$10</definedName>
    <definedName name="Total_Weight">'Trim'!$F$53</definedName>
    <definedName name="Total_Weight_In_Air">'Trim'!$C$9</definedName>
    <definedName name="vcg">#REF!</definedName>
    <definedName name="vcg_2">'Trim'!$C$33</definedName>
    <definedName name="Vehicle_roll">'Trim'!$C$35</definedName>
    <definedName name="Wing_density">'Material'!$B$13</definedName>
    <definedName name="Zinc_Density">'Material'!$B$9</definedName>
  </definedNames>
  <calcPr fullCalcOnLoad="1" iterate="1" iterateCount="1000" iterateDelta="0.001"/>
</workbook>
</file>

<file path=xl/comments2.xml><?xml version="1.0" encoding="utf-8"?>
<comments xmlns="http://schemas.openxmlformats.org/spreadsheetml/2006/main">
  <authors>
    <author/>
  </authors>
  <commentList>
    <comment ref="M2" authorId="0">
      <text>
        <r>
          <rPr>
            <b/>
            <sz val="8"/>
            <color indexed="8"/>
            <rFont val="Nimbus Roman No9 L"/>
            <family val="1"/>
          </rPr>
          <t xml:space="preserve">Fritz Stahr:07 may 2006
Made changes to make easier and more clear to use. Added Ballast sheet with connections to both Trim sheet and Cal sheet. Added Pressure Sensor cal sheet directly here with connections to Cal sheet. Added Maintenance sheet to keep track of during build changes. Modified the Trim page to accomodate noted changes in weight of sub-assemblies. Changed top of page to interact with Ballast sheet better and to make explicit note of changes in trim weight location to get good pitch and roll gain. Russ' notes below are a good basic guide to the original intent of the sheet, but should not be taken too literally.
Russ Light: (~2001?)
</t>
        </r>
        <r>
          <rPr>
            <sz val="8"/>
            <color indexed="8"/>
            <rFont val="Nimbus Roman No9 L"/>
            <family val="1"/>
          </rPr>
          <t xml:space="preserve">There are two primary goals in achieve with the spreadsheet: 
    1) Trimming which involves getting neutral bouyancy
   2) Balancing which involves achieving zero LCB-LCG separation
Trimming the glider amounts to changing the weight value for the forward fairing trim weight until the Net Buoyancy value goes to zero.  The Internal Oil Stroke must also be set for the desired percentage to achieve mission conditions.  Thre stroke value determines the nuetral point of the VBD system and thus determines how much displacement is available for thrust and surface manuever.  Of these two values the bouyancy required for the surface maneuver is the most important.  The density of the surface water layer determines how much displacement in the external bladder will be required to achieve the proper antenna mast position for GPS and data telemetry.  In cases of extream fresh water conditions as much as 650cc were required in the external bladder to achieve the proper surface position.  Select the stroke percentage to give sufficient displacement for the surface maneuver.  Adjust the forward fairing trim lead to zero the Net Buoyancy.
To achieve the proper balance the LCB-LCG difference value is made to be zero.  After achieving neutral buoyancy in the above procedure the center of gravity can be adjusted by changing the Pitch Mass Stroke percentage. The ideal value for this percentage is probably between 50-75%.  The total throw of the pitch mass shifter is approx 15cm.  Typical glider operations only require 1-3cm of movement to acheive normal glide slopes.  By biasing the neutral point towards the aft more shift is provided for the surface manuever.
</t>
        </r>
        <r>
          <rPr>
            <b/>
            <sz val="8"/>
            <color indexed="8"/>
            <rFont val="Nimbus Roman No9 L"/>
            <family val="1"/>
          </rPr>
          <t xml:space="preserve">FROM THE VMG USER'S GUIDE
</t>
        </r>
        <r>
          <rPr>
            <sz val="8"/>
            <color indexed="8"/>
            <rFont val="Nimbus Roman No9 L"/>
            <family val="1"/>
          </rPr>
          <t xml:space="preserve">10.0  Trimming Procedure
This section outlines how to manipulate, or more generally, in what order to manipulate the VMG trim sheet. There is a specific trim sheet for every glider, and its maintenance and upkeep are a necessary and time-consuming task, especially with changes to the VM hardware.
The goal is to set the VM Variable Buoyancy Device (VBD) for a given range of expected seawater density so that the limited range of buoyancy control is sufficient to perform its mission.  After the vehicle is trimmed for neutral buoyancy at the expected density, it is then necessary to set the vehicle longitudinal pitch trim so that it floats level, with zero pitch, with sufficient remaining control over its pitch to dive and climb.
The range of seawater density determines how precisely the VM must be trimmed. Density ranges greater than 0.7 practical salinity units (psu) may reduce the amount of thrust available during a dive to less than 200 grams.  Such a density range will require exact laboratory trimming to avoid using some of the VBD volume for achieving neutral trim.
The volume at the surface defines the minimum positive buoyancy and provides a starting point for the calculations.  An estimate of the surface density (at an average depth of 0.5 to 1.0 meter) must be available for this calculation.  
With all the trim sheet weights and positions entered with utmost accuracy, we’re ready to set the final trim for a given density range expected.  Adjustments are generally left to modifying the amount and location of external hull trim lead, which is that lead carried, or taped, to the inside of the bottom of the fairing.
First we’ll set the overall buoyancy trim, then deal with the longitudinal pitch trim. Cell names in Italics represent actual cells in the spreadsheet.
Set Overall Buoyancy Trim
1) Set the VBD Internal Oil Stroke to 5%.  
This represents the near maximum displaced volume, leaving 5% margin for trim errors and/or lighter than expected surface density.
2) Set Density to the expected surface density (e.g. 1.018)
3) Adjust the external trim lead to yield about 275 grams (+/- 10) grams of Net Buoyancy.  This is required to elevate the present cellular phone/GPS antenna design to the maximum degree above the water.  Future designs may take more or less: it is a function solely of the displaced volume of the antenna assembly. 
4) Now set the Density to the expected seawater density at the apogee depth (e.g. 1.024).  This is the density where the VM trim neutral point is defined.  
5) Using the goal seek function of Microsoft EXCEL, or the hunt and peck method, determine the VBD internal oil gage setting to achieve neutral buoyancy at apogee.  Force the Net Buoyancy value to zero by adjusting the value of the Internal Oil Stroke.  Record this value of neutral trim in the calibration sheet (specifically the A/D value of VBD Position)
6) Observe the maximum obtainable negative buoyancy by setting the Internal Oil Stroke to 95%.  This is the maximum thrust available during a dive.  This should exceed that required for the mission as determined by expected currents or round trip dive times.
If this maximum thrust is much more than is likely needed or desired, it might be wise to repeat the process, but leaving more positive buoyancy available for surfacing in lighter than expected surface water density (e.g. 10% or 15% versus 5%).  
Set Vehicle Longitudinal Pitch Trim
7) With the VBD set at the neutral trim point as determined in step #5, and the Pitch Mass Stroke set to 50%, play with the XCG position of the Trim Lead, Main Hull.  Verify that there is position in the hull to accommodate the lead; this can be done in the big AutoCAD assembly drawing, #49800.  It will probably be needed to place the trim lead in the most advantageous position in the fairing, and achieve the final pitch trim using the Pitch Mass Stroke, to achieve a zero Vehicle Pitch Angle.  As done in step 5, record the Pitch Mass Position A/D value on the calibration sheet.  
Note that these two numbers, which define the neutral buoyancy and neutral pitch trim, are initial estimates only. Their values will surely be modified in the field based upon dive performance data.
</t>
        </r>
      </text>
    </comment>
    <comment ref="C18" authorId="0">
      <text>
        <r>
          <rPr>
            <sz val="8"/>
            <color indexed="8"/>
            <rFont val="Nimbus Roman No9 L"/>
            <family val="1"/>
          </rPr>
          <t xml:space="preserve">This should be either measured or predicted denstiy the density of water the glider will encounter, e.g., OSB tank, PS surface, PS deep, WA coast deep.
 </t>
        </r>
      </text>
    </comment>
    <comment ref="C19" authorId="0">
      <text>
        <r>
          <rPr>
            <b/>
            <sz val="8"/>
            <color indexed="8"/>
            <rFont val="Nimbus Roman No9 L"/>
            <family val="1"/>
          </rPr>
          <t>Fritz (07May06):
Minimum value for surface manuever is 150 cc so test by setting to density to lightest possible (e.g., 1.018 for PS) and then put oil reservoir to 5% to be sure it can do it.</t>
        </r>
      </text>
    </comment>
    <comment ref="B20" authorId="0">
      <text>
        <r>
          <rPr>
            <b/>
            <sz val="8"/>
            <color indexed="8"/>
            <rFont val="Nimbus Roman No9 L"/>
            <family val="1"/>
          </rPr>
          <t xml:space="preserve">Russ Light:
</t>
        </r>
        <r>
          <rPr>
            <sz val="8"/>
            <color indexed="8"/>
            <rFont val="Nimbus Roman No9 L"/>
            <family val="1"/>
          </rPr>
          <t>The percentage of oil in the internal bladder.  100% stroke means the internal bladder is full.
Since the spreadsheet is designed to be adjusted until neutral buoyancy is achieved this value is critical.  The user must weigh the issues of how much positive buoyancy is required at the surface for surface maneuver based on surface water density.  For fresh surface water conditions this can result in a lack of thrust range.  Very fresh water conditions found during Puget Sound testing in Possession Sound during the spring/summer required surface buoyance values from 600-650 cc.
In general the stoke is biased above 50% so that there is sufficient reserve for achieving enough positive buoyancy on the surface.</t>
        </r>
      </text>
    </comment>
    <comment ref="E20" authorId="0">
      <text>
        <r>
          <rPr>
            <sz val="8"/>
            <color indexed="8"/>
            <rFont val="Nimbus Roman No9 L"/>
            <family val="1"/>
          </rPr>
          <t xml:space="preserve">External Bladder Full = low AD = vehicle floats higher.
External Bladder Empty = high AD = vehicle sinks lower.
</t>
        </r>
      </text>
    </comment>
    <comment ref="B27" authorId="0">
      <text>
        <r>
          <rPr>
            <sz val="8"/>
            <color indexed="8"/>
            <rFont val="Nimbus Roman No9 L"/>
            <family val="1"/>
          </rPr>
          <t>Nominal is 70% so can pitch far forward during surface manuever, Max Stroke is 15.32 cm</t>
        </r>
      </text>
    </comment>
    <comment ref="E27" authorId="0">
      <text>
        <r>
          <rPr>
            <sz val="8"/>
            <color indexed="8"/>
            <rFont val="Nimbus Roman No9 L"/>
            <family val="1"/>
          </rPr>
          <t>Positive cm is aft = high AD.
Negative cm is fwd = low AD.</t>
        </r>
      </text>
    </comment>
    <comment ref="B35" authorId="0">
      <text>
        <r>
          <rPr>
            <b/>
            <sz val="8"/>
            <color indexed="8"/>
            <rFont val="Nimbus Roman No9 L"/>
            <family val="1"/>
          </rPr>
          <t xml:space="preserve">Jim Osse:
</t>
        </r>
        <r>
          <rPr>
            <sz val="8"/>
            <color indexed="8"/>
            <rFont val="Nimbus Roman No9 L"/>
            <family val="1"/>
          </rPr>
          <t>Itterates for roll by equating moment of battery against moment of hull VCG and hull VCB, must have itteration option ON</t>
        </r>
      </text>
    </comment>
    <comment ref="J38" authorId="0">
      <text>
        <r>
          <rPr>
            <b/>
            <sz val="8"/>
            <color indexed="8"/>
            <rFont val="Nimbus Roman No9 L"/>
            <family val="1"/>
          </rPr>
          <t xml:space="preserve">Fritz Stahr:
</t>
        </r>
        <r>
          <rPr>
            <sz val="8"/>
            <color indexed="8"/>
            <rFont val="Nimbus Roman No9 L"/>
            <family val="1"/>
          </rPr>
          <t>Anything inside the pressure hull is considered to displace no volume.</t>
        </r>
      </text>
    </comment>
    <comment ref="L38" authorId="0">
      <text>
        <r>
          <rPr>
            <b/>
            <sz val="8"/>
            <color indexed="8"/>
            <rFont val="Nimbus Roman No9 L"/>
            <family val="1"/>
          </rPr>
          <t xml:space="preserve">Russ Light:
</t>
        </r>
        <r>
          <rPr>
            <sz val="8"/>
            <color indexed="8"/>
            <rFont val="Nimbus Roman No9 L"/>
            <family val="1"/>
          </rPr>
          <t>In the case where the part is fabricated from a homogenous material the CG and CB are the same.  In this case you will find that the CB is taken directly from the CG cell.</t>
        </r>
      </text>
    </comment>
    <comment ref="F52" authorId="0">
      <text>
        <r>
          <rPr>
            <b/>
            <sz val="8"/>
            <color indexed="8"/>
            <rFont val="Nimbus Roman No9 L"/>
            <family val="1"/>
          </rPr>
          <t xml:space="preserve">Fritz Stahr:
</t>
        </r>
        <r>
          <rPr>
            <sz val="8"/>
            <color indexed="8"/>
            <rFont val="Nimbus Roman No9 L"/>
            <family val="1"/>
          </rPr>
          <t xml:space="preserve">determined by original all-up dry weight difference
largely from mis-match in pupa weights - scale vs roll-up different by 134g
</t>
        </r>
      </text>
    </comment>
    <comment ref="G52" authorId="0">
      <text>
        <r>
          <rPr>
            <b/>
            <sz val="8"/>
            <color indexed="8"/>
            <rFont val="Nimbus Roman No9 L"/>
            <family val="1"/>
          </rPr>
          <t xml:space="preserve">Fritz Stahr:
</t>
        </r>
        <r>
          <rPr>
            <sz val="8"/>
            <color indexed="8"/>
            <rFont val="Nimbus Roman No9 L"/>
            <family val="1"/>
          </rPr>
          <t>adjusted to make pitch stroke for tank or regression work</t>
        </r>
      </text>
    </comment>
    <comment ref="J52" authorId="0">
      <text>
        <r>
          <rPr>
            <b/>
            <sz val="8"/>
            <color indexed="8"/>
            <rFont val="Nimbus Roman No9 L"/>
            <family val="1"/>
          </rPr>
          <t xml:space="preserve">Fritz Stahr:
</t>
        </r>
        <r>
          <rPr>
            <sz val="8"/>
            <color indexed="8"/>
            <rFont val="Nimbus Roman No9 L"/>
            <family val="1"/>
          </rPr>
          <t>set to make neutral observed in Port Susan show 0 net buoyancy</t>
        </r>
      </text>
    </comment>
    <comment ref="L52" authorId="0">
      <text>
        <r>
          <rPr>
            <b/>
            <sz val="8"/>
            <color indexed="8"/>
            <rFont val="Nimbus Roman No9 L"/>
            <family val="1"/>
          </rPr>
          <t xml:space="preserve">Fritz Stahr:
</t>
        </r>
        <r>
          <rPr>
            <sz val="8"/>
            <color indexed="8"/>
            <rFont val="Nimbus Roman No9 L"/>
            <family val="1"/>
          </rPr>
          <t>adjusted to make pitch center found in PS be zero</t>
        </r>
      </text>
    </comment>
    <comment ref="G62" authorId="0">
      <text>
        <r>
          <rPr>
            <sz val="8"/>
            <color indexed="8"/>
            <rFont val="Nimbus Roman No9 L"/>
            <family val="1"/>
          </rPr>
          <t>Fritz Stahr: 16may06
In orig trim sheets this changed from glider to glider and appeared to be calculated. Further, this # was also pasted into the xcg for the aft fairing. Replaced with Solidworks locations for xcg/b.</t>
        </r>
      </text>
    </comment>
    <comment ref="J62" authorId="0">
      <text>
        <r>
          <rPr>
            <b/>
            <sz val="8"/>
            <color indexed="8"/>
            <rFont val="Nimbus Roman No9 L"/>
            <family val="1"/>
          </rPr>
          <t xml:space="preserve">Russ Light:
</t>
        </r>
        <r>
          <rPr>
            <sz val="8"/>
            <color indexed="8"/>
            <rFont val="Nimbus Roman No9 L"/>
            <family val="1"/>
          </rPr>
          <t>Weighed fwd fairing (painted) with joint ring in air and in water:
Air Wt = 6603g
H20 Wt = 2595g
Diff = Vol = 4008cc
Using computed volumes of joint ring  fwd fairing volume is = 3686cc</t>
        </r>
      </text>
    </comment>
    <comment ref="G73" authorId="0">
      <text>
        <r>
          <rPr>
            <b/>
            <sz val="8"/>
            <color indexed="8"/>
            <rFont val="Nimbus Roman No9 L"/>
            <family val="1"/>
          </rPr>
          <t xml:space="preserve">Mike Johnson:
</t>
        </r>
        <r>
          <rPr>
            <sz val="8"/>
            <color indexed="8"/>
            <rFont val="Nimbus Roman No9 L"/>
            <family val="1"/>
          </rPr>
          <t xml:space="preserve">42.077" represents center of mass for lead attached dirrectly to pupa.  Lead is .377" further aft than lead taped to fairing
</t>
        </r>
      </text>
    </comment>
    <comment ref="G93" authorId="0">
      <text>
        <r>
          <rPr>
            <sz val="8"/>
            <color indexed="8"/>
            <rFont val="Nimbus Roman No9 L"/>
            <family val="1"/>
          </rPr>
          <t>Tom: 
MLW solidworks centroid-no parts included 8/8/2001: 54.15"
Jim: Orig ACAD estimate 35.20" total fairing; enter only for forward fairing
Fritz: trim sheets ahd been taking this from fwd fairing, I assume to represent the whole fairing, but now individual LCGs and LCBs</t>
        </r>
      </text>
    </comment>
    <comment ref="J95" authorId="0">
      <text>
        <r>
          <rPr>
            <b/>
            <sz val="8"/>
            <color indexed="8"/>
            <rFont val="Nimbus Roman No9 L"/>
            <family val="1"/>
          </rPr>
          <t xml:space="preserve">mike johnson:
</t>
        </r>
        <r>
          <rPr>
            <sz val="8"/>
            <color indexed="8"/>
            <rFont val="Nimbus Roman No9 L"/>
            <family val="1"/>
          </rPr>
          <t>Volume taken from Solidworks model 49838-A</t>
        </r>
      </text>
    </comment>
    <comment ref="J97" authorId="0">
      <text>
        <r>
          <rPr>
            <b/>
            <sz val="8"/>
            <color indexed="8"/>
            <rFont val="Nimbus Roman No9 L"/>
            <family val="1"/>
          </rPr>
          <t xml:space="preserve">mike johnson:
</t>
        </r>
        <r>
          <rPr>
            <sz val="8"/>
            <color indexed="8"/>
            <rFont val="Nimbus Roman No9 L"/>
            <family val="1"/>
          </rPr>
          <t>Volume taken from Solidworks model 49838-A</t>
        </r>
      </text>
    </comment>
    <comment ref="G108" authorId="0">
      <text>
        <r>
          <rPr>
            <b/>
            <sz val="8"/>
            <color indexed="8"/>
            <rFont val="Nimbus Roman No9 L"/>
            <family val="1"/>
          </rPr>
          <t>Mike Johnson:
1/29/2008
LCG computed from solidworks model.  Includes all components</t>
        </r>
      </text>
    </comment>
    <comment ref="J108" authorId="0">
      <text>
        <r>
          <rPr>
            <b/>
            <sz val="8"/>
            <color indexed="8"/>
            <rFont val="Nimbus Roman No9 L"/>
            <family val="1"/>
          </rPr>
          <t xml:space="preserve">mike johnson:
</t>
        </r>
        <r>
          <rPr>
            <sz val="8"/>
            <color indexed="8"/>
            <rFont val="Nimbus Roman No9 L"/>
            <family val="1"/>
          </rPr>
          <t xml:space="preserve">1/29/2008
Volume calculated with all components using solidworks models = 355.5
Keith's TTI model says 2969.1
</t>
        </r>
      </text>
    </comment>
    <comment ref="L108" authorId="0">
      <text>
        <r>
          <rPr>
            <b/>
            <sz val="8"/>
            <color indexed="8"/>
            <rFont val="Nimbus Roman No9 L"/>
            <family val="1"/>
          </rPr>
          <t xml:space="preserve">mike johnson:
</t>
        </r>
        <r>
          <rPr>
            <sz val="8"/>
            <color indexed="8"/>
            <rFont val="Nimbus Roman No9 L"/>
            <family val="1"/>
          </rPr>
          <t xml:space="preserve">1/29/2008
Assume same as LCG </t>
        </r>
      </text>
    </comment>
    <comment ref="G114" authorId="0">
      <text>
        <r>
          <rPr>
            <b/>
            <sz val="8"/>
            <color indexed="8"/>
            <rFont val="Nimbus Roman No9 L"/>
            <family val="1"/>
          </rPr>
          <t xml:space="preserve">mike johnson:
</t>
        </r>
        <r>
          <rPr>
            <sz val="8"/>
            <color indexed="8"/>
            <rFont val="Nimbus Roman No9 L"/>
            <family val="1"/>
          </rPr>
          <t>Distance for dual O2 aft fairing</t>
        </r>
      </text>
    </comment>
    <comment ref="J114" authorId="0">
      <text>
        <r>
          <rPr>
            <b/>
            <sz val="8"/>
            <color indexed="8"/>
            <rFont val="Nimbus Roman No9 L"/>
            <family val="1"/>
          </rPr>
          <t xml:space="preserve">mike johnson:
22 Jan 2008
Optode w/o cable = 81.1 cc
Optode w/ potted cable =  105.22 cc
</t>
        </r>
        <r>
          <rPr>
            <sz val="8"/>
            <color indexed="8"/>
            <rFont val="Nimbus Roman No9 L"/>
            <family val="1"/>
          </rPr>
          <t>Volume from solidworks part models</t>
        </r>
      </text>
    </comment>
    <comment ref="G119" authorId="0">
      <text>
        <r>
          <rPr>
            <b/>
            <sz val="8"/>
            <color indexed="8"/>
            <rFont val="Nimbus Roman No9 L"/>
            <family val="1"/>
          </rPr>
          <t xml:space="preserve">mike johnson:
</t>
        </r>
        <r>
          <rPr>
            <sz val="8"/>
            <color indexed="8"/>
            <rFont val="Nimbus Roman No9 L"/>
            <family val="1"/>
          </rPr>
          <t>Distance for single O2 aft fairing</t>
        </r>
      </text>
    </comment>
    <comment ref="J119" authorId="0">
      <text>
        <r>
          <rPr>
            <b/>
            <sz val="8"/>
            <color indexed="8"/>
            <rFont val="Nimbus Roman No9 L"/>
            <family val="1"/>
          </rPr>
          <t xml:space="preserve">mike johnson:
18 April 2008 
SBE43f = 164.47
</t>
        </r>
        <r>
          <rPr>
            <sz val="8"/>
            <color indexed="8"/>
            <rFont val="Nimbus Roman No9 L"/>
            <family val="1"/>
          </rPr>
          <t>Volume from solidworks models of sensor, plenum, and (2x) O2 clamps</t>
        </r>
      </text>
    </comment>
    <comment ref="J120" authorId="0">
      <text>
        <r>
          <rPr>
            <b/>
            <sz val="8"/>
            <color indexed="8"/>
            <rFont val="Nimbus Roman No9 L"/>
            <family val="1"/>
          </rPr>
          <t xml:space="preserve">mike johnson:
22 Jan 2008
24" IE55 cable = 29cc
</t>
        </r>
        <r>
          <rPr>
            <sz val="8"/>
            <color indexed="8"/>
            <rFont val="Nimbus Roman No9 L"/>
            <family val="1"/>
          </rPr>
          <t>Volume from solidwork part model</t>
        </r>
      </text>
    </comment>
    <comment ref="G126" authorId="0">
      <text>
        <r>
          <rPr>
            <b/>
            <sz val="8"/>
            <color indexed="8"/>
            <rFont val="Nimbus Roman No9 L"/>
            <family val="1"/>
          </rPr>
          <t xml:space="preserve">mike johnson:
</t>
        </r>
        <r>
          <rPr>
            <sz val="8"/>
            <color indexed="8"/>
            <rFont val="Nimbus Roman No9 L"/>
            <family val="1"/>
          </rPr>
          <t>Distance for PAR sensor</t>
        </r>
      </text>
    </comment>
    <comment ref="J126" authorId="0">
      <text>
        <r>
          <rPr>
            <b/>
            <sz val="8"/>
            <color indexed="8"/>
            <rFont val="Nimbus Roman No9 L"/>
            <family val="1"/>
          </rPr>
          <t>Jennie Mowatt
9 Mar 10
cable 10.5 cc
hydrophone 137 cc</t>
        </r>
      </text>
    </comment>
    <comment ref="G131" authorId="0">
      <text>
        <r>
          <rPr>
            <b/>
            <sz val="8"/>
            <color indexed="8"/>
            <rFont val="Nimbus Roman No9 L"/>
            <family val="1"/>
          </rPr>
          <t xml:space="preserve">mike johnson:
</t>
        </r>
        <r>
          <rPr>
            <sz val="8"/>
            <color indexed="8"/>
            <rFont val="Nimbus Roman No9 L"/>
            <family val="1"/>
          </rPr>
          <t>Distance for single WL aft fairing</t>
        </r>
      </text>
    </comment>
    <comment ref="J131" authorId="0">
      <text>
        <r>
          <rPr>
            <b/>
            <sz val="8"/>
            <color indexed="8"/>
            <rFont val="Nimbus Roman No9 L"/>
            <family val="1"/>
          </rPr>
          <t xml:space="preserve">Mike Johnson
22 Jan 2008
BB2F = 178.8cc
</t>
        </r>
        <r>
          <rPr>
            <sz val="8"/>
            <color indexed="8"/>
            <rFont val="Nimbus Roman No9 L"/>
            <family val="1"/>
          </rPr>
          <t>Volume from solidworks part models of WL BB2F and (2x)
sensor clamps</t>
        </r>
      </text>
    </comment>
    <comment ref="G137" authorId="0">
      <text>
        <r>
          <rPr>
            <b/>
            <sz val="8"/>
            <color indexed="8"/>
            <rFont val="Nimbus Roman No9 L"/>
            <family val="1"/>
          </rPr>
          <t xml:space="preserve">mike johnson:
</t>
        </r>
        <r>
          <rPr>
            <sz val="8"/>
            <color indexed="8"/>
            <rFont val="Nimbus Roman No9 L"/>
            <family val="1"/>
          </rPr>
          <t>Distance for wetlab used with a PAR senasor</t>
        </r>
      </text>
    </comment>
    <comment ref="J137" authorId="0">
      <text>
        <r>
          <rPr>
            <b/>
            <sz val="8"/>
            <color indexed="8"/>
            <rFont val="Nimbus Roman No9 L"/>
            <family val="1"/>
          </rPr>
          <t xml:space="preserve">Mike Johnson
22 Jan 2008
BBFL2VMT  = 209.3 cc
</t>
        </r>
        <r>
          <rPr>
            <sz val="8"/>
            <color indexed="8"/>
            <rFont val="Nimbus Roman No9 L"/>
            <family val="1"/>
          </rPr>
          <t xml:space="preserve">Volume from solidworks part models of WL vmg and (2x)
sensor clamps
</t>
        </r>
        <r>
          <rPr>
            <b/>
            <sz val="8"/>
            <color indexed="8"/>
            <rFont val="Nimbus Roman No9 L"/>
            <family val="1"/>
          </rPr>
          <t xml:space="preserve">BBFL2VMT w/Sensor mount for PAR sensor configuration =  237.64 cc
</t>
        </r>
        <r>
          <rPr>
            <sz val="8"/>
            <color indexed="8"/>
            <rFont val="Nimbus Roman No9 L"/>
            <family val="1"/>
          </rPr>
          <t>Volume from solidworks part models of WL vmt and sensor clamp</t>
        </r>
      </text>
    </comment>
    <comment ref="E143" authorId="0">
      <text>
        <r>
          <rPr>
            <b/>
            <sz val="8"/>
            <color indexed="8"/>
            <rFont val="Nimbus Roman No9 L"/>
            <family val="1"/>
          </rPr>
          <t xml:space="preserve">Seaglider Fabrication Center:
</t>
        </r>
        <r>
          <rPr>
            <sz val="8"/>
            <color indexed="8"/>
            <rFont val="Nimbus Roman No9 L"/>
            <family val="1"/>
          </rPr>
          <t>New electronics weight including ARS system, on SFC  scale</t>
        </r>
      </text>
    </comment>
    <comment ref="J150" authorId="0">
      <text>
        <r>
          <rPr>
            <b/>
            <sz val="8"/>
            <color indexed="8"/>
            <rFont val="Nimbus Roman No9 L"/>
            <family val="1"/>
          </rPr>
          <t xml:space="preserve">mike johnson:
</t>
        </r>
        <r>
          <rPr>
            <sz val="8"/>
            <color indexed="8"/>
            <rFont val="Nimbus Roman No9 L"/>
            <family val="1"/>
          </rPr>
          <t>Calculated from OEM specs</t>
        </r>
      </text>
    </comment>
    <comment ref="C161" authorId="0">
      <text>
        <r>
          <rPr>
            <b/>
            <sz val="8"/>
            <color indexed="8"/>
            <rFont val="Nimbus Roman No9 L"/>
            <family val="1"/>
          </rPr>
          <t xml:space="preserve">klandreth:
</t>
        </r>
        <r>
          <rPr>
            <sz val="8"/>
            <color indexed="8"/>
            <rFont val="Nimbus Roman No9 L"/>
            <family val="1"/>
          </rPr>
          <t>No Scalew weight</t>
        </r>
      </text>
    </comment>
    <comment ref="C169" authorId="0">
      <text>
        <r>
          <rPr>
            <b/>
            <sz val="8"/>
            <color indexed="8"/>
            <rFont val="Nimbus Roman No9 L"/>
            <family val="1"/>
          </rPr>
          <t xml:space="preserve">mike johnson:
</t>
        </r>
        <r>
          <rPr>
            <sz val="8"/>
            <color indexed="8"/>
            <rFont val="Nimbus Roman No9 L"/>
            <family val="1"/>
          </rPr>
          <t>Variable oil removed from weight roll up.</t>
        </r>
      </text>
    </comment>
    <comment ref="C170" authorId="0">
      <text>
        <r>
          <rPr>
            <b/>
            <sz val="8"/>
            <color indexed="8"/>
            <rFont val="Nimbus Roman No9 L"/>
            <family val="1"/>
          </rPr>
          <t xml:space="preserve">klandreth:
</t>
        </r>
        <r>
          <rPr>
            <sz val="8"/>
            <color indexed="8"/>
            <rFont val="Nimbus Roman No9 L"/>
            <family val="1"/>
          </rPr>
          <t>No Scale weight</t>
        </r>
      </text>
    </comment>
    <comment ref="J171" authorId="0">
      <text>
        <r>
          <rPr>
            <b/>
            <sz val="8"/>
            <color indexed="8"/>
            <rFont val="Nimbus Roman No9 L"/>
            <family val="1"/>
          </rPr>
          <t xml:space="preserve">mike johnson:
</t>
        </r>
        <r>
          <rPr>
            <sz val="8"/>
            <color indexed="8"/>
            <rFont val="Nimbus Roman No9 L"/>
            <family val="1"/>
          </rPr>
          <t>Volume taken from Solidworks model 49815-F.
Internal features / thru holes removed to create a solid part.</t>
        </r>
      </text>
    </comment>
    <comment ref="F197" authorId="0">
      <text>
        <r>
          <rPr>
            <sz val="8"/>
            <color indexed="8"/>
            <rFont val="Nimbus Roman No9 L"/>
            <family val="1"/>
          </rPr>
          <t>Includes Oil</t>
        </r>
      </text>
    </comment>
    <comment ref="J197" authorId="0">
      <text>
        <r>
          <rPr>
            <b/>
            <sz val="8"/>
            <color indexed="8"/>
            <rFont val="Nimbus Roman No9 L"/>
            <family val="1"/>
          </rPr>
          <t xml:space="preserve">Jim Osse:
</t>
        </r>
        <r>
          <rPr>
            <sz val="8"/>
            <color indexed="8"/>
            <rFont val="Nimbus Roman No9 L"/>
            <family val="1"/>
          </rPr>
          <t xml:space="preserve">incl vol of bladder at spec grav of 1.0
</t>
        </r>
      </text>
    </comment>
    <comment ref="C220" authorId="0">
      <text>
        <r>
          <rPr>
            <b/>
            <sz val="8"/>
            <color indexed="8"/>
            <rFont val="Nimbus Roman No9 L"/>
            <family val="1"/>
          </rPr>
          <t xml:space="preserve">klandreth:
</t>
        </r>
        <r>
          <rPr>
            <sz val="8"/>
            <color indexed="8"/>
            <rFont val="Nimbus Roman No9 L"/>
            <family val="1"/>
          </rPr>
          <t>No scale weight</t>
        </r>
      </text>
    </comment>
    <comment ref="C234" authorId="0">
      <text>
        <r>
          <rPr>
            <b/>
            <sz val="8"/>
            <color indexed="8"/>
            <rFont val="Nimbus Roman No9 L"/>
            <family val="1"/>
          </rPr>
          <t xml:space="preserve">klandreth:
</t>
        </r>
        <r>
          <rPr>
            <sz val="8"/>
            <color indexed="8"/>
            <rFont val="Nimbus Roman No9 L"/>
            <family val="1"/>
          </rPr>
          <t>No Scale Weight</t>
        </r>
      </text>
    </comment>
    <comment ref="J277" authorId="0">
      <text>
        <r>
          <rPr>
            <b/>
            <sz val="8"/>
            <color indexed="8"/>
            <rFont val="Nimbus Roman No9 L"/>
            <family val="1"/>
          </rPr>
          <t xml:space="preserve">Fritz Stahr:
</t>
        </r>
        <r>
          <rPr>
            <sz val="8"/>
            <color indexed="8"/>
            <rFont val="Nimbus Roman No9 L"/>
            <family val="1"/>
          </rPr>
          <t>Anything inside the pressure hull is considered to displace no volume.</t>
        </r>
      </text>
    </comment>
    <comment ref="L277" authorId="0">
      <text>
        <r>
          <rPr>
            <b/>
            <sz val="8"/>
            <color indexed="8"/>
            <rFont val="Nimbus Roman No9 L"/>
            <family val="1"/>
          </rPr>
          <t xml:space="preserve">Russ Light:
</t>
        </r>
        <r>
          <rPr>
            <sz val="8"/>
            <color indexed="8"/>
            <rFont val="Nimbus Roman No9 L"/>
            <family val="1"/>
          </rPr>
          <t>In the case where the part is fabricated from a homogenous material the CG and CB are the same.  In this case you will find that the CB is taken directly from the CG cell.</t>
        </r>
      </text>
    </comment>
    <comment ref="C290" authorId="0">
      <text>
        <r>
          <rPr>
            <b/>
            <sz val="8"/>
            <color indexed="8"/>
            <rFont val="Nimbus Roman No9 L"/>
            <family val="1"/>
          </rPr>
          <t xml:space="preserve">klandreth:
</t>
        </r>
        <r>
          <rPr>
            <sz val="8"/>
            <color indexed="8"/>
            <rFont val="Nimbus Roman No9 L"/>
            <family val="1"/>
          </rPr>
          <t>No Scale Weights</t>
        </r>
      </text>
    </comment>
    <comment ref="H302" authorId="0">
      <text>
        <r>
          <rPr>
            <b/>
            <sz val="8"/>
            <color indexed="8"/>
            <rFont val="Nimbus Roman No9 L"/>
            <family val="1"/>
          </rPr>
          <t xml:space="preserve">mike johnson:
</t>
        </r>
        <r>
          <rPr>
            <sz val="8"/>
            <color indexed="8"/>
            <rFont val="Nimbus Roman No9 L"/>
            <family val="1"/>
          </rPr>
          <t>Orig and Extended battery pack have same LCG</t>
        </r>
      </text>
    </comment>
    <comment ref="C320" authorId="0">
      <text>
        <r>
          <rPr>
            <b/>
            <sz val="8"/>
            <color indexed="8"/>
            <rFont val="Nimbus Roman No9 L"/>
            <family val="1"/>
          </rPr>
          <t xml:space="preserve">klandreth:
</t>
        </r>
        <r>
          <rPr>
            <sz val="8"/>
            <color indexed="8"/>
            <rFont val="Nimbus Roman No9 L"/>
            <family val="1"/>
          </rPr>
          <t>No Scale weight</t>
        </r>
      </text>
    </comment>
  </commentList>
</comments>
</file>

<file path=xl/comments9.xml><?xml version="1.0" encoding="utf-8"?>
<comments xmlns="http://schemas.openxmlformats.org/spreadsheetml/2006/main">
  <authors>
    <author/>
  </authors>
  <commentList>
    <comment ref="B8" authorId="0">
      <text>
        <r>
          <rPr>
            <sz val="8"/>
            <color indexed="8"/>
            <rFont val="Nimbus Roman No9 L"/>
            <family val="1"/>
          </rPr>
          <t>Russ Light (~2000?):</t>
        </r>
        <r>
          <rPr>
            <b/>
            <sz val="8"/>
            <color indexed="8"/>
            <rFont val="Nimbus Roman No9 L"/>
            <family val="1"/>
          </rPr>
          <t xml:space="preserve"> </t>
        </r>
        <r>
          <rPr>
            <sz val="8"/>
            <color indexed="8"/>
            <rFont val="Nimbus Roman No9 L"/>
            <family val="1"/>
          </rPr>
          <t>Using an in air and in water weight for aft fairing calculated the volume.  Then calculated the density of 1.5384 from this volume and in air weight. (2006) Jim O finds this varies between ~ 1.45 &amp; ~1.65 from DG work.
Osse note 1/15/07; suggest using  1.43 as startign density for fiberglass based on average of SG 101 to SG 110 post field deployment data</t>
        </r>
      </text>
    </comment>
    <comment ref="B13" authorId="0">
      <text>
        <r>
          <rPr>
            <b/>
            <sz val="8"/>
            <color indexed="8"/>
            <rFont val="Nimbus Roman No9 L"/>
            <family val="1"/>
          </rPr>
          <t xml:space="preserve">Jim Osse:
</t>
        </r>
        <r>
          <rPr>
            <sz val="8"/>
            <color indexed="8"/>
            <rFont val="Nimbus Roman No9 L"/>
            <family val="1"/>
          </rPr>
          <t>0.672 gm/cc per Lehman test on 5/28/02 on wing#23</t>
        </r>
      </text>
    </comment>
  </commentList>
</comments>
</file>

<file path=xl/sharedStrings.xml><?xml version="1.0" encoding="utf-8"?>
<sst xmlns="http://schemas.openxmlformats.org/spreadsheetml/2006/main" count="1329" uniqueCount="865">
  <si>
    <t>pump_power_intercept</t>
  </si>
  <si>
    <t>pump_power_slope</t>
  </si>
  <si>
    <t>% CT sensors cal constants</t>
  </si>
  <si>
    <t>calibcomm</t>
  </si>
  <si>
    <t>% SN and cal date</t>
  </si>
  <si>
    <t>t_g</t>
  </si>
  <si>
    <t>t_h</t>
  </si>
  <si>
    <t>t_i</t>
  </si>
  <si>
    <t>t_j</t>
  </si>
  <si>
    <t>c_g</t>
  </si>
  <si>
    <t>c_h</t>
  </si>
  <si>
    <t>c_i</t>
  </si>
  <si>
    <t>c_j</t>
  </si>
  <si>
    <t>cpcor</t>
  </si>
  <si>
    <t>ctcor</t>
  </si>
  <si>
    <t>sbe_cond_freq_min</t>
  </si>
  <si>
    <t>% kHz, from cal for 0 salinity</t>
  </si>
  <si>
    <t>HTI hydrophone recorder with mounting bracket and screws</t>
  </si>
  <si>
    <t>Motor Data</t>
  </si>
  <si>
    <t>Main Pump Motor</t>
  </si>
  <si>
    <t>Boost Pump motor</t>
  </si>
  <si>
    <t>Roll Motor</t>
  </si>
  <si>
    <t>Pitch Motor</t>
  </si>
  <si>
    <t>Amp w/full mass shifter assy. orientation - nose down, full lift</t>
  </si>
  <si>
    <t>Amp of pitch system during Port Susan dives</t>
  </si>
  <si>
    <t>SG SN</t>
  </si>
  <si>
    <t>Burn in time (min):</t>
  </si>
  <si>
    <t>Amp @ start of burn in (mA):</t>
  </si>
  <si>
    <t>Amp @ end of burn in (mA):</t>
  </si>
  <si>
    <t>$PITCH_MAX,</t>
  </si>
  <si>
    <t>$C_PITCH,</t>
  </si>
  <si>
    <t>$PITCH_CNV,</t>
  </si>
  <si>
    <t>$PITCH_GAIN,</t>
  </si>
  <si>
    <t>$ROLL_MIN,</t>
  </si>
  <si>
    <t>$ROLL_MAX,</t>
  </si>
  <si>
    <t>$C_ROLL_DIVE,</t>
  </si>
  <si>
    <t>$C_ROLL_CLIMB,</t>
  </si>
  <si>
    <t>$ROLL_CNV,</t>
  </si>
  <si>
    <t>$RHO,</t>
  </si>
  <si>
    <t>$MASS,</t>
  </si>
  <si>
    <t>$AH0_24V,</t>
  </si>
  <si>
    <t>$AH0_10V,</t>
  </si>
  <si>
    <t>UNK</t>
  </si>
  <si>
    <t>replaced by APL, 3/2/10</t>
  </si>
  <si>
    <t>Revised on 3/12/10 from PS regression</t>
  </si>
  <si>
    <t>from PS regression 3/12/10</t>
  </si>
  <si>
    <t>Puget Sound</t>
  </si>
  <si>
    <t>ocean</t>
  </si>
  <si>
    <t>fs</t>
  </si>
  <si>
    <t>add for ocean</t>
  </si>
  <si>
    <t>Tape all-around to secure straps</t>
  </si>
  <si>
    <t>All around tape over straps</t>
  </si>
  <si>
    <t>All around straps</t>
  </si>
  <si>
    <t>9/0</t>
  </si>
  <si>
    <t>PVC Density</t>
  </si>
  <si>
    <t>Neoprene Density</t>
  </si>
  <si>
    <t>Hydraulic Oil* Density</t>
  </si>
  <si>
    <t>PRC Wing Density</t>
  </si>
  <si>
    <t>EPDM sheet density</t>
  </si>
  <si>
    <t>Nylon density</t>
  </si>
  <si>
    <t>Polycarbonate</t>
  </si>
  <si>
    <t>** vary to balance overall density of glider</t>
  </si>
  <si>
    <t>*Amsoil AWF-ISO15 (synthetic) specfic gravity is 0.8229gm/cc from product sheet 1/23/2009</t>
  </si>
  <si>
    <t>% sg_calib_constants.m</t>
  </si>
  <si>
    <t>% values from spreadsheet for easy inclusion of glider params into diveplot.m, etc.</t>
  </si>
  <si>
    <t>% basic glider and mission params</t>
  </si>
  <si>
    <t>id_str</t>
  </si>
  <si>
    <t>='</t>
  </si>
  <si>
    <t>';</t>
  </si>
  <si>
    <t>mission_title</t>
  </si>
  <si>
    <t>Ocean</t>
  </si>
  <si>
    <t>mass</t>
  </si>
  <si>
    <t>=</t>
  </si>
  <si>
    <t>;</t>
  </si>
  <si>
    <t>% from sum on trim sheet</t>
  </si>
  <si>
    <t>volmax</t>
  </si>
  <si>
    <t>% from ballast worksheet final table</t>
  </si>
  <si>
    <t>rho0</t>
  </si>
  <si>
    <t>% from ballast worksheet for "new" evironment</t>
  </si>
  <si>
    <t>% initial hydrodynamic model params</t>
  </si>
  <si>
    <t>hd_a</t>
  </si>
  <si>
    <t>hd_b</t>
  </si>
  <si>
    <t>hd_c</t>
  </si>
  <si>
    <t>therm_expan</t>
  </si>
  <si>
    <t>temp_ref</t>
  </si>
  <si>
    <t>abs_compress</t>
  </si>
  <si>
    <t>pitchbias</t>
  </si>
  <si>
    <t>% software limits from cal sheet:</t>
  </si>
  <si>
    <t>pitch_min_cnts</t>
  </si>
  <si>
    <t>pitch_max_cnts</t>
  </si>
  <si>
    <t>roll_min_cnts</t>
  </si>
  <si>
    <t>roll_max_cnts</t>
  </si>
  <si>
    <t>vbd_min_cnts</t>
  </si>
  <si>
    <t>vbd_max_cnts</t>
  </si>
  <si>
    <t>vbd_cnts_per_cc</t>
  </si>
  <si>
    <t>% pump parameters</t>
  </si>
  <si>
    <t>pump_rate_intercept</t>
  </si>
  <si>
    <t>pump_rate_slope</t>
  </si>
  <si>
    <t>Lead On Pupa At Fairing Joint Ring</t>
  </si>
  <si>
    <t>port/top</t>
  </si>
  <si>
    <t>middle</t>
  </si>
  <si>
    <t>stbrd/bottom</t>
  </si>
  <si>
    <t>weight tape</t>
  </si>
  <si>
    <t>rubber &amp; tape</t>
  </si>
  <si>
    <t>Port side lead</t>
  </si>
  <si>
    <t>Starboard side lead</t>
  </si>
  <si>
    <t>Top side lead</t>
  </si>
  <si>
    <t>All around strap</t>
  </si>
  <si>
    <t>Total wt. tape at aft</t>
  </si>
  <si>
    <t>Scale weight of pupa with lead added:</t>
  </si>
  <si>
    <t>Forward, bottom lead</t>
  </si>
  <si>
    <t>Total tape</t>
  </si>
  <si>
    <t>sbe_cond_freq_max</t>
  </si>
  <si>
    <t>% kHz, est for greater than 34.9 sal max T</t>
  </si>
  <si>
    <t>sbe_temp_freq_min</t>
  </si>
  <si>
    <t>% kHz, from cal for 1 deg T</t>
  </si>
  <si>
    <t>sbe_temp_freq_max</t>
  </si>
  <si>
    <t>% kHz, from cal for 32.5 deg T</t>
  </si>
  <si>
    <t>% oxygen cal constants</t>
  </si>
  <si>
    <t>comm_oxy_type</t>
  </si>
  <si>
    <t>% spec SBE_43f or Aa_optode</t>
  </si>
  <si>
    <t>calibcomm_oxygen</t>
  </si>
  <si>
    <t>Soc</t>
  </si>
  <si>
    <t>Foffset</t>
  </si>
  <si>
    <t>o_a</t>
  </si>
  <si>
    <t>o_b</t>
  </si>
  <si>
    <t>o_c</t>
  </si>
  <si>
    <t>o_e</t>
  </si>
  <si>
    <t>Tau20</t>
  </si>
  <si>
    <t>Pcor</t>
  </si>
  <si>
    <t>$SEABIRD_T_G,</t>
  </si>
  <si>
    <t>$SEABIRD_T_H,</t>
  </si>
  <si>
    <t>$SEABIRD_T_I,</t>
  </si>
  <si>
    <t>$SEABIRD_T_J,</t>
  </si>
  <si>
    <t>$SEABIRD_C_G,</t>
  </si>
  <si>
    <t>$SEABIRD_C_H,</t>
  </si>
  <si>
    <t>$SEABIRD_C_I,</t>
  </si>
  <si>
    <t>$SEABIRD_C_J,</t>
  </si>
  <si>
    <t>$PRESSURE_SLOPE,</t>
  </si>
  <si>
    <t>$VBD_MIN,</t>
  </si>
  <si>
    <t>$VBD_MAX,</t>
  </si>
  <si>
    <t>$C_VBD,</t>
  </si>
  <si>
    <t>$VBD_CNV,</t>
  </si>
  <si>
    <t>$PITCH_MIN,</t>
  </si>
  <si>
    <t>gram/cc</t>
  </si>
  <si>
    <t>calculated using web-calculator</t>
  </si>
  <si>
    <t>SG Mass</t>
  </si>
  <si>
    <t>measured with lead est. from orig. trim sheet</t>
  </si>
  <si>
    <t>SG Volume</t>
  </si>
  <si>
    <t>at neutral, when achieved relative to C_VBD</t>
  </si>
  <si>
    <t>Neutral by interation in tank</t>
  </si>
  <si>
    <t>Relative to set C_VBD</t>
  </si>
  <si>
    <t>counts</t>
  </si>
  <si>
    <t>(Neil's table )</t>
  </si>
  <si>
    <t>counts*</t>
  </si>
  <si>
    <t>VBD rel V0, cc</t>
  </si>
  <si>
    <t>Displacement</t>
  </si>
  <si>
    <t>Vol max (oil outside)</t>
  </si>
  <si>
    <t>cc (pos. floats)</t>
  </si>
  <si>
    <t>Vol neutral</t>
  </si>
  <si>
    <t>(obsv in tank)</t>
  </si>
  <si>
    <t>Vol min (oil inside)</t>
  </si>
  <si>
    <t>cc (neg. sinks)</t>
  </si>
  <si>
    <t>Max movable vol.</t>
  </si>
  <si>
    <t>New enviornment ballasting</t>
  </si>
  <si>
    <t>SG Mass (observed)</t>
  </si>
  <si>
    <t>into Port Susan</t>
  </si>
  <si>
    <t>SG Vol max (obsv/est)</t>
  </si>
  <si>
    <t>SG Vol min</t>
  </si>
  <si>
    <t>New enivron density</t>
  </si>
  <si>
    <t>g/cc</t>
  </si>
  <si>
    <t>Goal for thrust</t>
  </si>
  <si>
    <t>for PS</t>
  </si>
  <si>
    <t xml:space="preserve">New Vol neutral </t>
  </si>
  <si>
    <t>lead density</t>
  </si>
  <si>
    <t>Change mass by</t>
  </si>
  <si>
    <t>vol lead change</t>
  </si>
  <si>
    <t>Projected new mass</t>
  </si>
  <si>
    <t>Proj. Vol. max</t>
  </si>
  <si>
    <t>VBD points for new environ</t>
  </si>
  <si>
    <t>Vol max</t>
  </si>
  <si>
    <t>Vol neutral (C_VBD)</t>
  </si>
  <si>
    <t>Vol min</t>
  </si>
  <si>
    <t>Actual new mass</t>
  </si>
  <si>
    <t>Est. Vol. neutral</t>
  </si>
  <si>
    <t>Est. C_VBD</t>
  </si>
  <si>
    <t>Tank and Puget Sound Notes</t>
  </si>
  <si>
    <t>Date</t>
  </si>
  <si>
    <t>Action</t>
  </si>
  <si>
    <t>Maintenance sheet</t>
  </si>
  <si>
    <t>55236 / 55252</t>
  </si>
  <si>
    <t>Hull, Electronics</t>
  </si>
  <si>
    <t>O-Ring, E70-263, elec hull to fwd endcap</t>
  </si>
  <si>
    <t>(8x) 6-32 x 1/2 SHCS + #6 LW, elec hull to fwd endcap</t>
  </si>
  <si>
    <t>(pressure test above components w/ bulkhead and pressure sensor assy)</t>
  </si>
  <si>
    <t>Compass bracket</t>
  </si>
  <si>
    <t>Compass w/compass carrier PCB</t>
  </si>
  <si>
    <t>55305 / 52466</t>
  </si>
  <si>
    <t>Amp w/main pump and oil (no load on bench) (mA):</t>
  </si>
  <si>
    <t>Amp w/micro pump (mA):</t>
  </si>
  <si>
    <t>Amp w/gear block assy. (mA):</t>
  </si>
  <si>
    <t>100-cycle average time (sec):</t>
  </si>
  <si>
    <t>100-cycle avg. current (mA)</t>
  </si>
  <si>
    <t>100-cycle avg. current peak  (mA)</t>
  </si>
  <si>
    <t xml:space="preserve">Initial flair maneuver (dive start) (mA) </t>
  </si>
  <si>
    <t>Surface maneuver (mA)</t>
  </si>
  <si>
    <t>Apogee maneuver (mid dive) (mA)</t>
  </si>
  <si>
    <t>Note: motors burned in backwards due to test fixture wired backwards</t>
  </si>
  <si>
    <t>Material Density</t>
  </si>
  <si>
    <t>6061 T6 Alum</t>
  </si>
  <si>
    <t>Lead</t>
  </si>
  <si>
    <t>Naval Brass</t>
  </si>
  <si>
    <t>Stainless Steel</t>
  </si>
  <si>
    <t>Polypropylene</t>
  </si>
  <si>
    <t>Fairing fiberglass density**</t>
  </si>
  <si>
    <t xml:space="preserve">  Zinc</t>
  </si>
  <si>
    <t>Paine calibration data from sheet delivered with sensor</t>
  </si>
  <si>
    <t>Excitation Voltage = 10.000V</t>
  </si>
  <si>
    <t>Response voltages in mV</t>
  </si>
  <si>
    <t>Pressure</t>
  </si>
  <si>
    <t>0 deg C</t>
  </si>
  <si>
    <t>30 deg C</t>
  </si>
  <si>
    <t>(PSIA)</t>
  </si>
  <si>
    <t>Increasing</t>
  </si>
  <si>
    <t>Decreasing</t>
  </si>
  <si>
    <t>Averages of increasing and decreasing and adjusted for Seaglider 5.000V excitation voltage</t>
  </si>
  <si>
    <t>Average</t>
  </si>
  <si>
    <t>0 Deg C</t>
  </si>
  <si>
    <t>30 Deg C</t>
  </si>
  <si>
    <t>Output</t>
  </si>
  <si>
    <t>(A/D counts)</t>
  </si>
  <si>
    <t>Slope Coefficient Units (PSIA/A-D )</t>
  </si>
  <si>
    <t>Intercept Coefficient (PSIA)</t>
  </si>
  <si>
    <t>Slope</t>
  </si>
  <si>
    <t>Intercept</t>
  </si>
  <si>
    <t>Error Analysis 0 Deg</t>
  </si>
  <si>
    <t>Error Analysis 30 Deg</t>
  </si>
  <si>
    <t>Calculated</t>
  </si>
  <si>
    <t>Error</t>
  </si>
  <si>
    <t>Use these values for Seaglider Calibration Coefficients</t>
  </si>
  <si>
    <t>Slope Coefficient Units (PSIG/A-D )</t>
  </si>
  <si>
    <t>Intercept Coefficient (PSIG)</t>
  </si>
  <si>
    <t>SG lead worksheet</t>
  </si>
  <si>
    <t>date</t>
  </si>
  <si>
    <t>Ballast for:</t>
  </si>
  <si>
    <t>time</t>
  </si>
  <si>
    <t>Density:</t>
  </si>
  <si>
    <t>who</t>
  </si>
  <si>
    <t>Thrust:</t>
  </si>
  <si>
    <t>Wt. goal</t>
  </si>
  <si>
    <t>grams/pcs</t>
  </si>
  <si>
    <t>sum grams</t>
  </si>
  <si>
    <t>Nose plates  (qty)</t>
  </si>
  <si>
    <t>pc-1</t>
  </si>
  <si>
    <t>pc-2</t>
  </si>
  <si>
    <t>pc-3</t>
  </si>
  <si>
    <t>pc-4</t>
  </si>
  <si>
    <t>pc-5</t>
  </si>
  <si>
    <t>pc-6</t>
  </si>
  <si>
    <t>pc-7</t>
  </si>
  <si>
    <t>pc-8</t>
  </si>
  <si>
    <t>pc-9</t>
  </si>
  <si>
    <t>pc-10</t>
  </si>
  <si>
    <t>weights</t>
  </si>
  <si>
    <t>screws</t>
  </si>
  <si>
    <t>Scale weight of fwd fairing with nose plates added</t>
  </si>
  <si>
    <t>7421 g - SFC scale 3/9/10</t>
  </si>
  <si>
    <t>Ribbon  Cable (W14) (rainbow)</t>
  </si>
  <si>
    <t>52249</t>
  </si>
  <si>
    <t>CT Sensor Sail Assembly (stanchion, guard, nut, nacelle, (6x) 6-32 x 5/16 FHMS, o-ring (E70-016), o-ring (E70-012), SBE components)</t>
  </si>
  <si>
    <t>Mass Shifter Stability Rod Assy w/ Hard Stop ("the stinger")</t>
  </si>
  <si>
    <t>Assy., Mass shifter</t>
  </si>
  <si>
    <t>Moveable Weight</t>
  </si>
  <si>
    <t>sum lead</t>
  </si>
  <si>
    <t>sum all variable wt.</t>
  </si>
  <si>
    <t>Whole glider weight - BEFORE PUTTING IN TANK or BOX - DRY!!!</t>
  </si>
  <si>
    <t>Ballasting worksheet</t>
  </si>
  <si>
    <t>Conversions</t>
  </si>
  <si>
    <t>Units</t>
  </si>
  <si>
    <t xml:space="preserve">VBD </t>
  </si>
  <si>
    <t>counts/cc</t>
  </si>
  <si>
    <t>cc=cm3</t>
  </si>
  <si>
    <t>gm=grams</t>
  </si>
  <si>
    <t>cc/counts</t>
  </si>
  <si>
    <t>counts=AtoD counts</t>
  </si>
  <si>
    <t>In tank to find original volume of SG</t>
  </si>
  <si>
    <t>Tank Temp</t>
  </si>
  <si>
    <t>deg C</t>
  </si>
  <si>
    <t>measured using glider</t>
  </si>
  <si>
    <t>tank temp with fluke meter 23.1C</t>
  </si>
  <si>
    <t>Tank Salinity (meas)</t>
  </si>
  <si>
    <t>ppt</t>
  </si>
  <si>
    <t>Tank Salinity (corr)</t>
  </si>
  <si>
    <t>ratio for tank salt</t>
  </si>
  <si>
    <t>Tank Density</t>
  </si>
  <si>
    <t>Assy., OEM Navigation Board (transponder PCB, transformer/inductor, capacitors, GPS reciever, W6 GPS serial interface, GPS antenna cable,DC-DC converter, Cable Assembly W7, all soldered on wiring )</t>
  </si>
  <si>
    <t>(6x) 6-32 x 1/4 PHMS, OEM board to rails</t>
  </si>
  <si>
    <t>Assy.,  Iridium Modem and bracket (includes satellite reciever - iridium LBT, cable assy W3, all clamps for wires, RF switch, DC block, and mounting hardware)</t>
  </si>
  <si>
    <t>(4x) 6-32 x 1/4 PHMS + #6 LW, modem cage to rails</t>
  </si>
  <si>
    <t>55209 / 55217</t>
  </si>
  <si>
    <t>Battery Pack, LV w/ CA W1</t>
  </si>
  <si>
    <t>52237</t>
  </si>
  <si>
    <t>Battery Pack Cage, LV</t>
  </si>
  <si>
    <t>(6x) 6-32 x 1/4 PHMS + #6 LW, batt. cage to rails</t>
  </si>
  <si>
    <t>Assy., Battery Hull Sections</t>
  </si>
  <si>
    <t>Hull, Fwd Battery</t>
  </si>
  <si>
    <t>Hull, Aft Battery</t>
  </si>
  <si>
    <t>Joint Ring , battery hulls</t>
  </si>
  <si>
    <t>(8x) 6-32 x 3/4 SHCS + #6 LW, joint ring to fwd/aft batt. Hull</t>
  </si>
  <si>
    <t>55214 / 55217</t>
  </si>
  <si>
    <t>(2x) O-Ring, E70-271</t>
  </si>
  <si>
    <t>(12x) Clips, Rib</t>
  </si>
  <si>
    <t>(12x) Clips, Wiring</t>
  </si>
  <si>
    <t>Oil Absorption pad, 1.9" x 10.125" + (2x) rib clips</t>
  </si>
  <si>
    <t>55527 / 49883</t>
  </si>
  <si>
    <t>Assy., Forward Hull Sections</t>
  </si>
  <si>
    <t>Endcap, Forward</t>
  </si>
  <si>
    <t>Acoustic transducer (ITC-3013), w/ cable W36</t>
  </si>
  <si>
    <t>52267 / 52223</t>
  </si>
  <si>
    <t>O-Ring, E70-238, transducer to Endcap</t>
  </si>
  <si>
    <t>(6x) Alum 1/4-20 x 3/4 SHCS + 1/4 LW, xducer to end cap</t>
  </si>
  <si>
    <t>Elbow, 1/8 NPT M x 1/8 NPT M, brass</t>
  </si>
  <si>
    <t>52426</t>
  </si>
  <si>
    <t>Kepner Chk Valve 404A-1-10</t>
  </si>
  <si>
    <t>52447</t>
  </si>
  <si>
    <t>Elbow, 1/8 npt x 1/8 tube, alum</t>
  </si>
  <si>
    <t>52427</t>
  </si>
  <si>
    <t>Bleed screw, 10-32 x .125 PHMS with seal</t>
  </si>
  <si>
    <t>55477</t>
  </si>
  <si>
    <t>Cylinder, Diaphragm</t>
  </si>
  <si>
    <t>(8x) 5-40 x 3/8 SHCS +#5 LW, head to cylinder</t>
  </si>
  <si>
    <t>55251</t>
  </si>
  <si>
    <t>(4x) 4-40 x 3/8 SHCS + #4 x 1/8L stand off</t>
  </si>
  <si>
    <t>55256 / 55282</t>
  </si>
  <si>
    <t>(2x) 4-40 X 3/8 SHCS + #4 LW, comp mt to fwd encap</t>
  </si>
  <si>
    <t>55228 / 55233</t>
  </si>
  <si>
    <t>Cable Assembly W9  (compass cable)</t>
  </si>
  <si>
    <t>last updated</t>
  </si>
  <si>
    <t>Paine</t>
  </si>
  <si>
    <t>211-75-710-05</t>
  </si>
  <si>
    <t>Conversion to SG counts</t>
  </si>
  <si>
    <t>A/D Ref Voltage</t>
  </si>
  <si>
    <t>Volts/AD-count</t>
  </si>
  <si>
    <t>(Default value 128 for Paine)</t>
  </si>
  <si>
    <t>A/D Counts/Volt</t>
  </si>
  <si>
    <t>(Default value 14.7)</t>
  </si>
  <si>
    <t>Max counts  (24 bit AD)</t>
  </si>
  <si>
    <t>(Default value 0)</t>
  </si>
  <si>
    <t>Excitation Voltage</t>
  </si>
  <si>
    <t>5.000</t>
  </si>
  <si>
    <t>(2x) Saddles, mounting, O2 PCB + (4x) 4-40 x 1/4 PHMS (only used with SBE 43f)</t>
  </si>
  <si>
    <t>Weigh Hydraulic res. Assy, then Oil fill &amp; add sub-assy fasteners</t>
  </si>
  <si>
    <t>Linear Poteniometer A  w/ cable assy (W21), Linear pot clamp, 3-48 x 1/2 SHCS, Spring, Linear pot rod end</t>
  </si>
  <si>
    <t>52255 / 49814 / 55220</t>
  </si>
  <si>
    <t>Linear Poteniometer B  w/ cable assy (W20), Linear pot clamp, 3-48 x 1/2 SHCS, Spring, Linear pot rod end</t>
  </si>
  <si>
    <t>52256 / 49814 / 55220</t>
  </si>
  <si>
    <t>(2x) 5-40 x 1/2 SHCS + #5 LW, Clamp to cylinder</t>
  </si>
  <si>
    <t xml:space="preserve">55250 / 55212 / 55225 </t>
  </si>
  <si>
    <t>(2x) 6-32 x 1/2 SHCS + #6 LW, boost pump bracket to endcap</t>
  </si>
  <si>
    <t>(4x) 6-32 x 1/2 SHCS + #6 LW, cylinder standoff to endcap</t>
  </si>
  <si>
    <t>aft endcap electronic parts - mount with CT sail</t>
  </si>
  <si>
    <t xml:space="preserve">Aft Terminal PCB </t>
  </si>
  <si>
    <t>55302</t>
  </si>
  <si>
    <t>SBE Conductivity PCB (included with sensors)</t>
  </si>
  <si>
    <t>Conductivity, PCB jumper, CA W26</t>
  </si>
  <si>
    <t>Shield, Radiation, C PCB + (4x) 2-56 x 1/4 BHCS</t>
  </si>
  <si>
    <t>49887 / 55221</t>
  </si>
  <si>
    <t>SBE Temperature PCB (included with sensors)</t>
  </si>
  <si>
    <t>Temperature, PCB jumper, CA W25</t>
  </si>
  <si>
    <t>Shield, Radiation, T PCB + (4x) 2-56 x 1/4 BHCS</t>
  </si>
  <si>
    <t>52371 / 55221</t>
  </si>
  <si>
    <t>SBE Oxygen PCB (only used with SBE 43f) ((included with sensors)</t>
  </si>
  <si>
    <t>Oxygen, PCB jumper, CA W33 (only used with SBE 43f)</t>
  </si>
  <si>
    <t>Ribbon Cable (W13) (gray)</t>
  </si>
  <si>
    <t>52248</t>
  </si>
  <si>
    <t>O-Ring, N70-032, hydraulic endcap</t>
  </si>
  <si>
    <t>52407</t>
  </si>
  <si>
    <t>Connector, Male, 1/16 NPT x 1/8 tube, brass</t>
  </si>
  <si>
    <t>52436</t>
  </si>
  <si>
    <t>Tubing, 1/8 Dia. X 10.5"</t>
  </si>
  <si>
    <t>52418</t>
  </si>
  <si>
    <t>Magnetic Seal</t>
  </si>
  <si>
    <t>52353</t>
  </si>
  <si>
    <t>(6x) 6-32 x 1/2 SHCS + #6 LW, hydraulic encap to encap</t>
  </si>
  <si>
    <t>Lee Plug Set</t>
  </si>
  <si>
    <t>52445 / 52446</t>
  </si>
  <si>
    <t>Battery Enclosure</t>
  </si>
  <si>
    <t>HV Battery</t>
  </si>
  <si>
    <t>Assy., Electronics</t>
  </si>
  <si>
    <t>52347</t>
  </si>
  <si>
    <t>ARS system</t>
  </si>
  <si>
    <t>Electronics rail, port</t>
  </si>
  <si>
    <t>Electronics rail, starboard</t>
  </si>
  <si>
    <t>Seaglider Mainboard (Mother board, TT8, CF8, flash card)</t>
  </si>
  <si>
    <t>52290-B.4</t>
  </si>
  <si>
    <t xml:space="preserve"> Insulation Sheet-OEM/Main</t>
  </si>
  <si>
    <t>52370</t>
  </si>
  <si>
    <t>(6x) 6-32 x 1/4 PHMS, main board to rails</t>
  </si>
  <si>
    <t>55237</t>
  </si>
  <si>
    <t>Position F (WL-3):  IE55 w/ o-ring</t>
  </si>
  <si>
    <t>Iridium/GPS Ant., conn/o-ring/ CA W5, J2</t>
  </si>
  <si>
    <t>52241</t>
  </si>
  <si>
    <t>50.6</t>
  </si>
  <si>
    <t xml:space="preserve"> Vacuum/pressure relief valve (deep sea power)</t>
  </si>
  <si>
    <t>52449</t>
  </si>
  <si>
    <t>Pump Plate, Inner</t>
  </si>
  <si>
    <t>Assy, Main pump motor w/ CA W8,W18</t>
  </si>
  <si>
    <t>(3x) M2 x 6 FHMS  (motor to interface plate)</t>
  </si>
  <si>
    <t>Bore Reducer</t>
  </si>
  <si>
    <t>52351</t>
  </si>
  <si>
    <t>Pulley, LeDuc pump motor</t>
  </si>
  <si>
    <t>(6x) 4-40 x 3/8 FHMS, hyd end cap to inner plate</t>
  </si>
  <si>
    <t>55229</t>
  </si>
  <si>
    <t>Pulley, LeDuc pump</t>
  </si>
  <si>
    <t>Timing Belt</t>
  </si>
  <si>
    <t>52357</t>
  </si>
  <si>
    <t>Pump Plate, Outer</t>
  </si>
  <si>
    <t>(4x) 4-40 x 3/16 SHCS + #4 LW, outer plate to inner plate</t>
  </si>
  <si>
    <t>55296</t>
  </si>
  <si>
    <t>Assy., Boost Pump</t>
  </si>
  <si>
    <t>Pump Bracket</t>
  </si>
  <si>
    <t>Motor, Chrge Pump w/ W34</t>
  </si>
  <si>
    <t>52288</t>
  </si>
  <si>
    <t>(2x) M2 x 6 FHMS, motor to bracket</t>
  </si>
  <si>
    <t>55203</t>
  </si>
  <si>
    <t>Magnet Rotor Housing</t>
  </si>
  <si>
    <t>52457</t>
  </si>
  <si>
    <t>(4x) 6-32 x 1/4 PHMS, bracket to housing</t>
  </si>
  <si>
    <t>55209</t>
  </si>
  <si>
    <t>Rotary Magnet</t>
  </si>
  <si>
    <t>52455</t>
  </si>
  <si>
    <t xml:space="preserve">Pumphead, Micropump + mounting plate + (3x) 4-40 x 3/8 FHMS  </t>
  </si>
  <si>
    <t>52360 / 52456 / 55229</t>
  </si>
  <si>
    <t>(4x) 4-40 x 3/16 SHCS + #4 LW, housing to flange</t>
  </si>
  <si>
    <t>55296 / 55233</t>
  </si>
  <si>
    <t>(2x) Elbow, 1/8 npt x 1/4 tube, alum</t>
  </si>
  <si>
    <t>52431</t>
  </si>
  <si>
    <t>Filter, Balston</t>
  </si>
  <si>
    <t>52425</t>
  </si>
  <si>
    <t>Assy., Hydraulic Reservoir</t>
  </si>
  <si>
    <t>Piston, Diaphragm</t>
  </si>
  <si>
    <t>Diaphragm, Internal (Bellofram)</t>
  </si>
  <si>
    <t>52359</t>
  </si>
  <si>
    <t>Sikaflex Adhesive Compound</t>
  </si>
  <si>
    <t>55459</t>
  </si>
  <si>
    <t>Cylinder Head, Diaphragm</t>
  </si>
  <si>
    <t>Branch Tee, Male, 1/4 tube x 1/8 NPT x 1/4 tube, brass + Plastic plug (X59P4)</t>
  </si>
  <si>
    <t>52443</t>
  </si>
  <si>
    <t>Wet Labs sensor Assy. (WL Triplet sensor, (2x) Wet labs sensor clamp, (2x) 8-32 x 5/8 FHMS - sensor clamp to fairing)</t>
  </si>
  <si>
    <t>55381/ 52312 / 55245</t>
  </si>
  <si>
    <t>Assy., Pupa</t>
  </si>
  <si>
    <t>Complete pupae volume - sum this sheet</t>
  </si>
  <si>
    <t>Position B (Opt O2):  IE55 dummy plug</t>
  </si>
  <si>
    <t>55309</t>
  </si>
  <si>
    <t>Position C (WL-1):  IE55 dummy plug</t>
  </si>
  <si>
    <t>Standoff (starboard)</t>
  </si>
  <si>
    <t>55299</t>
  </si>
  <si>
    <t>Standoff (port)</t>
  </si>
  <si>
    <t>(4x) 6-32 x 3/8 SHCS, standoff to cylinder</t>
  </si>
  <si>
    <t>55183</t>
  </si>
  <si>
    <t>(2x) Saddles, mounting, Aft PCB + (4x) 4-40 x 1/4 PHMS</t>
  </si>
  <si>
    <t>52373 / 55257</t>
  </si>
  <si>
    <t>(2x) Saddles, mounting, C PCB + (4x) 4-40 x 1/4 PHMS</t>
  </si>
  <si>
    <t>49888 / 55257</t>
  </si>
  <si>
    <t>(2x) Saddles, mounting, T PCB + (4x) 4-40 x 1/4 PHMS</t>
  </si>
  <si>
    <t>(2x) 6-32 x 1/2 SHCS w/ LW + (6x) 6-32 x 5/8 with zincs, bulkhead to battery hull</t>
  </si>
  <si>
    <t>(4x) 6-32 x 1/2 SHCS + #6 LW, rails to bulkhead</t>
  </si>
  <si>
    <t>55183 / 55217</t>
  </si>
  <si>
    <t>O-Ring, E70-263, elec hull to bulkhead</t>
  </si>
  <si>
    <t>(8x) 6-32 x 1/2 SHCS + #6 LW, elec hull to bulkhead</t>
  </si>
  <si>
    <t>Assy., Aft Endcap</t>
  </si>
  <si>
    <t>Hydraulic oil:                                                               End Cap Without Oil</t>
  </si>
  <si>
    <t xml:space="preserve"> End Cap With Oil</t>
  </si>
  <si>
    <t>Oil Added To System</t>
  </si>
  <si>
    <t>Volume of Oil In System</t>
  </si>
  <si>
    <t>Assy., Hydraulics drive system</t>
  </si>
  <si>
    <t>Endcap, Aft</t>
  </si>
  <si>
    <t>49815</t>
  </si>
  <si>
    <t>(2x) Roll pin, 5/32 OD x 3/8, Pump anti rotation</t>
  </si>
  <si>
    <t>Connector, Male, 1/8 NPT x 1/4 tube, alum</t>
  </si>
  <si>
    <t>52432</t>
  </si>
  <si>
    <t>Connector, Male, 1/8 NPT x 1/4 tube, SS</t>
  </si>
  <si>
    <t>52429</t>
  </si>
  <si>
    <t>Assy, Solenoid Valve, Skinner</t>
  </si>
  <si>
    <t>52254</t>
  </si>
  <si>
    <t>Adaptor, Male, 1/8 NPT x 1/4 M, SS</t>
  </si>
  <si>
    <t>52430</t>
  </si>
  <si>
    <t>Branch Tee, Male, 1/4 tube x 1/8 NPT x 1/4 tube, alum</t>
  </si>
  <si>
    <t>52433</t>
  </si>
  <si>
    <t>Tubing, 1/4 DIA x 8"</t>
  </si>
  <si>
    <t>52419</t>
  </si>
  <si>
    <t>Tubing, 1/4 Dia x 6.0"</t>
  </si>
  <si>
    <t>Check Valve, Kepner 204 A-1</t>
  </si>
  <si>
    <t>52448</t>
  </si>
  <si>
    <t>Union Elbow, Male, 1/4 tube x 1/4 tube, alum</t>
  </si>
  <si>
    <t>52435</t>
  </si>
  <si>
    <t>Tubing, 1/4 DIA x 9.625"</t>
  </si>
  <si>
    <t>Run Tee, Male,1/4 tube x 1/4 tube x 1/8 NPT, alum</t>
  </si>
  <si>
    <t>52428</t>
  </si>
  <si>
    <t>Tubing, 1/4 Dia x 4.375"</t>
  </si>
  <si>
    <t>Seal Washer</t>
  </si>
  <si>
    <t>LeDuc Output Screw</t>
  </si>
  <si>
    <t>Hydraulic Pump, LeDuc</t>
  </si>
  <si>
    <t>52348</t>
  </si>
  <si>
    <t>Hydraulic endcap</t>
  </si>
  <si>
    <t>Ball Bearing, 8mm ID x 16mm OD</t>
  </si>
  <si>
    <t>52459</t>
  </si>
  <si>
    <t>Trim Lead .600" aft of pupa joint ring - port side (5" strip)</t>
  </si>
  <si>
    <t>EPDM base (5"x6") + (2x) 2"x 6" tape - port</t>
  </si>
  <si>
    <t>Trim Lead .600" aft of pupa joint ring - starboard side (5" strip)</t>
  </si>
  <si>
    <t>EPDM base (5"x6") + (2x) 2"x 6" tape - starboard</t>
  </si>
  <si>
    <t>Trim Lead .600" aft of pupa joint ring - top (5" strip)</t>
  </si>
  <si>
    <t>Check Valve (altered item Kepner 1106 A-1-1) + O-Ring (N70 3-906)</t>
  </si>
  <si>
    <t>49852 / 52408</t>
  </si>
  <si>
    <t xml:space="preserve">Bladder, External </t>
  </si>
  <si>
    <t>52441</t>
  </si>
  <si>
    <t>Nut, Bladder</t>
  </si>
  <si>
    <t>49802</t>
  </si>
  <si>
    <t>Position A (Comms):  IE55 w o-ring</t>
  </si>
  <si>
    <t>Position B (Opt O2):  IE55 w o-ring</t>
  </si>
  <si>
    <t>Position C (WL-1):  IE55 w o-ring</t>
  </si>
  <si>
    <t>Position D (SBE O2):  IE55 w o-ring</t>
  </si>
  <si>
    <t>Position E (WL-2):  IE55 w/ o-ring</t>
  </si>
  <si>
    <t>Aft Fairing - with cutouts for panel</t>
  </si>
  <si>
    <t>56972</t>
  </si>
  <si>
    <t>Wing, Starboard (1m)</t>
  </si>
  <si>
    <t>Wing, Starboard (1.5m)</t>
  </si>
  <si>
    <t>Wing, Port  (1 m)</t>
  </si>
  <si>
    <t>Wing, Port  (1.5 m)</t>
  </si>
  <si>
    <t>(16x) 6-32 x 3/8 FHMS, wings to fairing</t>
  </si>
  <si>
    <t>Rudder</t>
  </si>
  <si>
    <t>(2x) 1/4-20 x 2" FHMS, rudder to rudder shoe</t>
  </si>
  <si>
    <t>Top panel</t>
  </si>
  <si>
    <t>Bottom panel</t>
  </si>
  <si>
    <t xml:space="preserve">Panel screws - (18) FHMS 6-32 x .375 </t>
  </si>
  <si>
    <t>Assy.,  Antenna</t>
  </si>
  <si>
    <t>Antenna Assembly GPSI (All parts)</t>
  </si>
  <si>
    <t>52336 / 52341 / 52454 / 52476 / 55361</t>
  </si>
  <si>
    <t>Cap (DGO protector during build - do not weigh)</t>
  </si>
  <si>
    <t>NA</t>
  </si>
  <si>
    <t>Assy., Aanderaa Optode Oxygen Sensor</t>
  </si>
  <si>
    <t>O2 Sensor Assy. (Aanderaa optode, mount base, SS hose clamp, (2x) 8-32 x 5/8 FHMS, (2x) 8-32 nylok)</t>
  </si>
  <si>
    <t>52220 / 52485 / 52486 / 55239 / 55321</t>
  </si>
  <si>
    <t>Assy., SBE 43f Oxygen Sensor</t>
  </si>
  <si>
    <t>O2 Sensor Assy. (O2 sensor, Plenum, (2x) 6-32 x 5/8 SHCS - plenum to sensor,  (2x) O2 Clamp, (4x) 6-32 x 5/8 FHMS - Clamp to aft fairing</t>
  </si>
  <si>
    <t>52356 / 52501 / 55214 / 52311 / 55210</t>
  </si>
  <si>
    <t>O2 Sensor Cable Assembly</t>
  </si>
  <si>
    <t>Plug assy, SBE 43f plenum</t>
  </si>
  <si>
    <t>Assy., Hydrophone</t>
  </si>
  <si>
    <t>-</t>
  </si>
  <si>
    <t>Assy., WET Labs Optical - BB2F-VMG</t>
  </si>
  <si>
    <t>Wet Labs sensor Assy. (WL BB2F-VMG sensor, (2x) sensor clamp, (2x) 8-32 x 5/8 FHMS - sensor clamp to fairing)</t>
  </si>
  <si>
    <t>52296 / 52312 / 55245</t>
  </si>
  <si>
    <t>Cover, WL sensor used in shipping</t>
  </si>
  <si>
    <t>55520</t>
  </si>
  <si>
    <t>Assy., WET Labs Optical - BBFL2VMT</t>
  </si>
  <si>
    <t>(goal is change of ~28 deg per cm travel, use goal-seek on Location by +/-1cm to test)</t>
  </si>
  <si>
    <t>Vertical CG (VCG)</t>
  </si>
  <si>
    <t>(goal is ~ -0.45 from prior builds)</t>
  </si>
  <si>
    <t>Computed VCB</t>
  </si>
  <si>
    <t>(goal is ~0.07 from prior builds)</t>
  </si>
  <si>
    <t>VCB-VCG Separation</t>
  </si>
  <si>
    <t>(goal is ~0.53 from prior builds)</t>
  </si>
  <si>
    <t>Roll-mass (batt) Angle</t>
  </si>
  <si>
    <t>Position D (SBE O2):  IE55 dummy plug</t>
  </si>
  <si>
    <t>Position E (WL-2):  IE55 dummy plug</t>
  </si>
  <si>
    <t>Position F (WL-3 / PAR):  IE55 dummy plug</t>
  </si>
  <si>
    <t>O-Ring, E70-270, Endcap to Batt Hull</t>
  </si>
  <si>
    <t>52411</t>
  </si>
  <si>
    <t>(2x) 6-32 x 1/2 SHCS w/ LW + (5x) 6-32 x 5/8 with zincs, endcap to battery hull</t>
  </si>
  <si>
    <t>55183 / 55217 / 55214 / 49884</t>
  </si>
  <si>
    <t>O-Ring, E70-270,  Bulkhead to batt. hull</t>
  </si>
  <si>
    <t>VCG&amp;B</t>
  </si>
  <si>
    <t>VCG</t>
  </si>
  <si>
    <t>VCB</t>
  </si>
  <si>
    <t>Assy. Level</t>
  </si>
  <si>
    <t>Description</t>
  </si>
  <si>
    <t>(or Assy Wt)</t>
  </si>
  <si>
    <t>grams</t>
  </si>
  <si>
    <t>inch</t>
  </si>
  <si>
    <t>gm-cm</t>
  </si>
  <si>
    <t>cc-cm</t>
  </si>
  <si>
    <t xml:space="preserve">Complete fairing &amp; antenna </t>
  </si>
  <si>
    <t>Subtotal (summed) Weight</t>
  </si>
  <si>
    <t>Scale Weight</t>
  </si>
  <si>
    <t>Summed volume</t>
  </si>
  <si>
    <t>sum-diff's</t>
  </si>
  <si>
    <t>Complete pupa</t>
  </si>
  <si>
    <t>Total weights and volume - Flying SG - without adjustment</t>
  </si>
  <si>
    <t>Adjustment to reflect trims found in tank &amp; Port Susan</t>
  </si>
  <si>
    <t>Total weights and volume - Flying SG - adjusted, reported above</t>
  </si>
  <si>
    <t>Flying Seaglider</t>
  </si>
  <si>
    <t>(8x) 10-32 x 3/8 FHMS, joint ring to aft fairing</t>
  </si>
  <si>
    <t>(8x) 1/4-28 x 1/2 FHMS, Aft fairing to endcap</t>
  </si>
  <si>
    <t>Assy, Forward Fairing</t>
  </si>
  <si>
    <t>Subtotal Weight</t>
  </si>
  <si>
    <t>Forward Fairing</t>
  </si>
  <si>
    <t>Joint Ring, Fwd to Aft Fairing (bonded to fwd fairing before paint;  Long ring = 875g, short ring 688g )</t>
  </si>
  <si>
    <t>Nose weight (bonded to fwd fairing after paint)</t>
  </si>
  <si>
    <t>Nose weight plates</t>
  </si>
  <si>
    <t>(2x) 1/4-20 x 2" SHCS + 1/4 LW  brass, nose plate to nose base (4 - 5 plates) -= 28.5</t>
  </si>
  <si>
    <t>55186 / 55253</t>
  </si>
  <si>
    <t>(2x) 1/4-20 x 1.5" SHCS + 1/4 LW  brass, nose plate to nose base (2 -3 plates)</t>
  </si>
  <si>
    <t>55185 / 55253</t>
  </si>
  <si>
    <t>(2x) 1/4-20 x .75" SHCS + 1/4 LW  brass, nose plate to nose base (1 plate)</t>
  </si>
  <si>
    <t>55473 / 55253</t>
  </si>
  <si>
    <t>Assy., Lead Ballast</t>
  </si>
  <si>
    <t>Trim Lead .600" aft of pupa joint ring - bottom (5" strip)</t>
  </si>
  <si>
    <t>EPDM base (5"x6") + (2x) 2"x 6" tape - bottom</t>
  </si>
  <si>
    <t>not in BOM</t>
  </si>
  <si>
    <t>SIM Card SN</t>
  </si>
  <si>
    <t>89881 69514 00081 0916</t>
  </si>
  <si>
    <t>SBE C and T Sensors</t>
  </si>
  <si>
    <t>Sail SN</t>
  </si>
  <si>
    <t>Temp PCB SN</t>
  </si>
  <si>
    <t>Cond PCB SN</t>
  </si>
  <si>
    <t>SBE Calibration date:</t>
  </si>
  <si>
    <t>Conductivity Calibration Coefficients</t>
  </si>
  <si>
    <t>Temperature Calibration Coefficients</t>
  </si>
  <si>
    <t>g =</t>
  </si>
  <si>
    <t xml:space="preserve">   </t>
  </si>
  <si>
    <t>h =</t>
  </si>
  <si>
    <t>i =</t>
  </si>
  <si>
    <t>j =</t>
  </si>
  <si>
    <t>EPDM base (5"x6") + (2x) 2"x 6" tape - top</t>
  </si>
  <si>
    <t>Trim Lead tape (~1g per 5" lead strip)</t>
  </si>
  <si>
    <t>(2) Straps - cut to length (start at 34g, subtract trimmed)</t>
  </si>
  <si>
    <t>Trim Lead 1.000" fwd of bulkhead - bottom (5" strip)</t>
  </si>
  <si>
    <t>EPDM base (5"x3")</t>
  </si>
  <si>
    <t>lead goal</t>
  </si>
  <si>
    <t>currently at</t>
  </si>
  <si>
    <t>Assy., Aft Fairing</t>
  </si>
  <si>
    <t>Foffset=</t>
  </si>
  <si>
    <t>A=</t>
  </si>
  <si>
    <t>B=</t>
  </si>
  <si>
    <t>C=</t>
  </si>
  <si>
    <t>E=</t>
  </si>
  <si>
    <t>Tau20=</t>
  </si>
  <si>
    <t>SEAGLIDER - Trim and Balance</t>
  </si>
  <si>
    <t>MS</t>
  </si>
  <si>
    <t>Spreadsheet Usage Notes from Russ Light</t>
  </si>
  <si>
    <t xml:space="preserve">Comments: </t>
  </si>
  <si>
    <t>Fwd Fairing assy scale wt:</t>
  </si>
  <si>
    <t>Enter data only where font is RED</t>
  </si>
  <si>
    <t>Aft fairing assy scale wt:</t>
  </si>
  <si>
    <t>Density Trim</t>
  </si>
  <si>
    <t>Fairing screws scale wt:</t>
  </si>
  <si>
    <t>Total Weight (in air), summed items, corrected</t>
  </si>
  <si>
    <t>gm</t>
  </si>
  <si>
    <t>Pupa assy w/lead scale wt:</t>
  </si>
  <si>
    <t>je adjusted for Port Susan 5/15/09</t>
  </si>
  <si>
    <t>Total Scale Weight</t>
  </si>
  <si>
    <t>Total glider wt by assy scale wts:</t>
  </si>
  <si>
    <t>Weight difference/"error"</t>
  </si>
  <si>
    <t>Actual</t>
  </si>
  <si>
    <t>Variable wt, including nose-wt-plates</t>
  </si>
  <si>
    <t>diff</t>
  </si>
  <si>
    <t>pupa &amp; aft fairing</t>
  </si>
  <si>
    <t>Displaced Volume, measured in tank</t>
  </si>
  <si>
    <t>cc</t>
  </si>
  <si>
    <t>see Ballast worksheet for more volume details</t>
  </si>
  <si>
    <t>above + fwd fairing scale wt</t>
  </si>
  <si>
    <t>Displaced Volume, summed items</t>
  </si>
  <si>
    <t>Water Density</t>
  </si>
  <si>
    <t>gm/cc</t>
  </si>
  <si>
    <t>Net Buoyancy (relative to neutral, positive floats, no thrust)</t>
  </si>
  <si>
    <t>predicted using this spreadsheet, actual may vary!</t>
  </si>
  <si>
    <t>Internal Oil Stroke (100% is all inside, ext. bladder empty)Nominal 80%</t>
  </si>
  <si>
    <t>A/D counts</t>
  </si>
  <si>
    <t>(input %, not counts)</t>
  </si>
  <si>
    <t>($PITCH_VBD_SHIFT)</t>
  </si>
  <si>
    <t xml:space="preserve"> cm per cc</t>
  </si>
  <si>
    <t xml:space="preserve">Pitch &amp; Roll Trim </t>
  </si>
  <si>
    <t>Longitudinal CG</t>
  </si>
  <si>
    <t>cm</t>
  </si>
  <si>
    <t>inches</t>
  </si>
  <si>
    <t>Longitudinal CB</t>
  </si>
  <si>
    <t>LCB-LCG Separation</t>
  </si>
  <si>
    <t>Pitch-mass Stroke (100% is fully aft, nominal is 70%)</t>
  </si>
  <si>
    <t>Pitch-mass (batt) Location</t>
  </si>
  <si>
    <t>Vehicle Pitch Angle (positive is nose up)</t>
  </si>
  <si>
    <t>deg</t>
  </si>
  <si>
    <t>(all values fed from press-cal worksheet including date)</t>
  </si>
  <si>
    <t>Values from Pres Cal sht</t>
  </si>
  <si>
    <t>Manufacturer</t>
  </si>
  <si>
    <t>Model #</t>
  </si>
  <si>
    <t>Serial #</t>
  </si>
  <si>
    <t>Calibration date</t>
  </si>
  <si>
    <t>A/D Gain</t>
  </si>
  <si>
    <t>PSI = Slope *AD_Count + Y_Intercept</t>
  </si>
  <si>
    <t>Atmos @ cal.</t>
  </si>
  <si>
    <t>Temp @ cal.</t>
  </si>
  <si>
    <t>Psig/AD count</t>
  </si>
  <si>
    <t>Vehicle Roll Angle</t>
  </si>
  <si>
    <t>(goal is 20 deg Vehicle roll per 40 deg Battery Roll, but eqn had circular reference, now repl w/"20")</t>
  </si>
  <si>
    <t>Total</t>
  </si>
  <si>
    <t>Moment</t>
  </si>
  <si>
    <t>Assy.</t>
  </si>
  <si>
    <t>Part #</t>
  </si>
  <si>
    <t>Qty</t>
  </si>
  <si>
    <t>Weight</t>
  </si>
  <si>
    <t>LCG</t>
  </si>
  <si>
    <t>Volume</t>
  </si>
  <si>
    <t>Total Vol</t>
  </si>
  <si>
    <t>LCB</t>
  </si>
  <si>
    <t>Initial psi:</t>
  </si>
  <si>
    <t>End psi:</t>
  </si>
  <si>
    <t>Initial RH:</t>
  </si>
  <si>
    <t>End RH:</t>
  </si>
  <si>
    <t>Compass</t>
  </si>
  <si>
    <t>Manufactuer</t>
  </si>
  <si>
    <t>Sparton</t>
  </si>
  <si>
    <t>Model number</t>
  </si>
  <si>
    <t>SP3004D</t>
  </si>
  <si>
    <t>Serial Number</t>
  </si>
  <si>
    <t>Compass SW version #</t>
  </si>
  <si>
    <t>Compass carier PCB</t>
  </si>
  <si>
    <t>PN 52281 rev 1.2</t>
  </si>
  <si>
    <t>Sand Point Calibration Date</t>
  </si>
  <si>
    <t>TCM2MAT file creation date</t>
  </si>
  <si>
    <t>Main Board</t>
  </si>
  <si>
    <t>(52290=normal glider)</t>
  </si>
  <si>
    <t>Mainboard Revision</t>
  </si>
  <si>
    <t>B.4</t>
  </si>
  <si>
    <t>Mainboard Serial Number</t>
  </si>
  <si>
    <t>0070</t>
  </si>
  <si>
    <t>Computer Type</t>
  </si>
  <si>
    <t>TT8</t>
  </si>
  <si>
    <t>Onset Computers</t>
  </si>
  <si>
    <t>Computer Serial Number</t>
  </si>
  <si>
    <t>230038</t>
  </si>
  <si>
    <t>Disk system</t>
  </si>
  <si>
    <t>CF8V2</t>
  </si>
  <si>
    <t>Persistor Corp.</t>
  </si>
  <si>
    <t>2538</t>
  </si>
  <si>
    <t>Compact Flash Card Manu.</t>
  </si>
  <si>
    <t xml:space="preserve">Silicon Systems  </t>
  </si>
  <si>
    <t>CF card size</t>
  </si>
  <si>
    <t>256 MB</t>
  </si>
  <si>
    <t>CF card  serial/ID #</t>
  </si>
  <si>
    <t>22890</t>
  </si>
  <si>
    <t>Watchdog (PIC) setting (min)</t>
  </si>
  <si>
    <t>10 min</t>
  </si>
  <si>
    <t>(10min = dips 2&amp;4 on)</t>
  </si>
  <si>
    <t>OEM Board &amp; Sub-systems</t>
  </si>
  <si>
    <t>GPS Manufacturer</t>
  </si>
  <si>
    <t>Garmin</t>
  </si>
  <si>
    <t>GPS Model Number</t>
  </si>
  <si>
    <t>15H-W</t>
  </si>
  <si>
    <t>GPS Serial Number</t>
  </si>
  <si>
    <t>11H007942</t>
  </si>
  <si>
    <t>GPSI Antenna SN</t>
  </si>
  <si>
    <t>ES-125</t>
  </si>
  <si>
    <t>(fab by Ocean Eng Services)</t>
  </si>
  <si>
    <t>DC-DC converter SN</t>
  </si>
  <si>
    <t>11609A824</t>
  </si>
  <si>
    <t>Transducer Manu.</t>
  </si>
  <si>
    <t>ITC</t>
  </si>
  <si>
    <t>Transducer Model</t>
  </si>
  <si>
    <t>Transducer SN</t>
  </si>
  <si>
    <t>Acoustic Transponder</t>
  </si>
  <si>
    <t>AAE</t>
  </si>
  <si>
    <t>Model</t>
  </si>
  <si>
    <t>Main-board SN</t>
  </si>
  <si>
    <t>Sub-board SN</t>
  </si>
  <si>
    <t>AAE software ver #</t>
  </si>
  <si>
    <t>Interrogate Frequency</t>
  </si>
  <si>
    <t>KHz</t>
  </si>
  <si>
    <t>Reply Frequency</t>
  </si>
  <si>
    <t>DIP switch settings</t>
  </si>
  <si>
    <t>(sw-1/sw-2)</t>
  </si>
  <si>
    <t>Iridium Modem</t>
  </si>
  <si>
    <t>9522A</t>
  </si>
  <si>
    <t>IMEI Number</t>
  </si>
  <si>
    <t>300224010443200</t>
  </si>
  <si>
    <t>Modem SN:</t>
  </si>
  <si>
    <t>707QJ7</t>
  </si>
  <si>
    <t>SIM Card Owner</t>
  </si>
  <si>
    <t>UH</t>
  </si>
  <si>
    <t>phone #</t>
  </si>
  <si>
    <t>data #</t>
  </si>
  <si>
    <t>Calibrated Slope</t>
  </si>
  <si>
    <t>(either PresCal-B64)</t>
  </si>
  <si>
    <t>Cal. Y-Intercept</t>
  </si>
  <si>
    <t>(Changed each time sensor set for “sealevel”)</t>
  </si>
  <si>
    <t>Depth Offset</t>
  </si>
  <si>
    <t>Meters</t>
  </si>
  <si>
    <t>Conversion Factor</t>
  </si>
  <si>
    <t>0.685 psig/meter</t>
  </si>
  <si>
    <t>Internal Pressure</t>
  </si>
  <si>
    <t>KOD scale, 3/17/2010</t>
  </si>
  <si>
    <t>rev 66.07 - with ARS</t>
  </si>
  <si>
    <t>Cpcor (nom) =</t>
  </si>
  <si>
    <t>f0 =</t>
  </si>
  <si>
    <t>Ctcor (nom) =</t>
  </si>
  <si>
    <t>Optical Sensor(s)</t>
  </si>
  <si>
    <t>Dissolved Oxygen Sensor</t>
  </si>
  <si>
    <t>cal date</t>
  </si>
  <si>
    <t>00/00/00</t>
  </si>
  <si>
    <t>Sea-Bird 43f coefficients</t>
  </si>
  <si>
    <t xml:space="preserve">Soc = </t>
  </si>
  <si>
    <t>Boc =</t>
  </si>
  <si>
    <t>Tcor =</t>
  </si>
  <si>
    <t>Pcor =</t>
  </si>
  <si>
    <t>Calibration Sheet for SEAGLIDER</t>
  </si>
  <si>
    <t>Serial No.</t>
  </si>
  <si>
    <t>Date:</t>
  </si>
  <si>
    <t>(master to all sheets)</t>
  </si>
  <si>
    <t>Time:</t>
  </si>
  <si>
    <t>Software Revision</t>
  </si>
  <si>
    <t>Pitch Mass</t>
  </si>
  <si>
    <t>Last updated</t>
  </si>
  <si>
    <t>Comments</t>
  </si>
  <si>
    <t>Headroom, fwd</t>
  </si>
  <si>
    <t>AD counts</t>
  </si>
  <si>
    <t>Headroom, aft</t>
  </si>
  <si>
    <t>Hardware Limit (counts)</t>
  </si>
  <si>
    <t>Software Limit (counts)</t>
  </si>
  <si>
    <t>cm travel*</t>
  </si>
  <si>
    <t>Minimum (full forward)</t>
  </si>
  <si>
    <t>Maximum (full aft)</t>
  </si>
  <si>
    <t>Stroke Length</t>
  </si>
  <si>
    <t xml:space="preserve"> Pitch Center</t>
  </si>
  <si>
    <t>(as defined by $C_PITCH)</t>
  </si>
  <si>
    <t>cm full stroke:</t>
  </si>
  <si>
    <t>Conversion constant</t>
  </si>
  <si>
    <t>cm per AD</t>
  </si>
  <si>
    <t>($PITCH_CNV)</t>
  </si>
  <si>
    <t>(conversion inverse)</t>
  </si>
  <si>
    <t>AD per cm</t>
  </si>
  <si>
    <t>*equation</t>
  </si>
  <si>
    <t>cm = (AD –center)* conversion factor (cm/AD)</t>
  </si>
  <si>
    <t>(-) cm is fwd of center, (+) cm is aft of center</t>
  </si>
  <si>
    <t>Roll Mass</t>
  </si>
  <si>
    <t>Headroom</t>
  </si>
  <si>
    <t>degrees roll*</t>
  </si>
  <si>
    <t>Full roll to port</t>
  </si>
  <si>
    <t>Full roll to starboard</t>
  </si>
  <si>
    <t>Dive Roll Center</t>
  </si>
  <si>
    <t>($C_ROLL_DIVE)</t>
  </si>
  <si>
    <t>Climb Roll Center</t>
  </si>
  <si>
    <t>($C_ROLL_CLIMB)</t>
  </si>
  <si>
    <t>degree per AD</t>
  </si>
  <si>
    <t>($ROLL_CONV)</t>
  </si>
  <si>
    <t>AD per degree</t>
  </si>
  <si>
    <t>*Equation:</t>
  </si>
  <si>
    <t>deg=(AD-center) * conversion factor</t>
  </si>
  <si>
    <t>Variable Buoyancy Drive (VBD)</t>
  </si>
  <si>
    <t>LeDuc Pump SN</t>
  </si>
  <si>
    <t>(short shaft SN)</t>
  </si>
  <si>
    <t>Boost Pump SN</t>
  </si>
  <si>
    <t>cm3 (cc) oil*</t>
  </si>
  <si>
    <t>$VBD_Min (Ext Bladder full)</t>
  </si>
  <si>
    <t>$VBD_Max (Ext Bladder empty)</t>
  </si>
  <si>
    <t>Total movable oil volume</t>
  </si>
  <si>
    <t>Neutral Trim (from Ballast sheet)</t>
  </si>
  <si>
    <t>($C_VBD for neutral)</t>
  </si>
  <si>
    <t>(nomially 0 at spec rho)</t>
  </si>
  <si>
    <t>cc per AD</t>
  </si>
  <si>
    <t>$VBD_CNV</t>
  </si>
  <si>
    <t>AD per cc</t>
  </si>
  <si>
    <t>*equation:</t>
  </si>
  <si>
    <t>cc oil=(AD@neutral trim)* conv. factor (cc/counts)</t>
  </si>
  <si>
    <t>(1 cc oil = 1.025 g buoyancy)</t>
  </si>
  <si>
    <t>Pressure Sensor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</si>
</sst>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General"/>
    <numFmt numFmtId="169" formatCode="_-* #,##0.00_-;\-* #,##0.00_-;_-* \-??_-;_-@_-"/>
    <numFmt numFmtId="170" formatCode="_(* #,##0.00_);_(* \(#,##0.00\);_(* \-??_);_(@_)"/>
    <numFmt numFmtId="171" formatCode="d\-mmm\-yy"/>
    <numFmt numFmtId="172" formatCode="m/d/yyyy"/>
    <numFmt numFmtId="173" formatCode="0"/>
    <numFmt numFmtId="174" formatCode="0.00;[Red]0.00"/>
    <numFmt numFmtId="175" formatCode="0.000000"/>
    <numFmt numFmtId="176" formatCode="0.00000"/>
    <numFmt numFmtId="177" formatCode="0.000000E+00"/>
    <numFmt numFmtId="178" formatCode="0.000"/>
    <numFmt numFmtId="179" formatCode="0.0"/>
    <numFmt numFmtId="180" formatCode="0000"/>
    <numFmt numFmtId="181" formatCode="d\-mmm\-yy;@"/>
    <numFmt numFmtId="182" formatCode="0.00000000E+00"/>
    <numFmt numFmtId="183" formatCode="0.0000E+00"/>
    <numFmt numFmtId="184" formatCode="0%"/>
    <numFmt numFmtId="185" formatCode="_(* #,##0_);_(* \(#,##0\);_(* \-??_);_(@_)"/>
    <numFmt numFmtId="186" formatCode="0.0E+00;\ठ"/>
    <numFmt numFmtId="187" formatCode="0.0000"/>
    <numFmt numFmtId="188" formatCode="dd\-mmm\-yy"/>
    <numFmt numFmtId="189" formatCode="mm/dd/yy"/>
    <numFmt numFmtId="190" formatCode="0.0000000E+00"/>
  </numFmts>
  <fonts count="6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b/>
      <sz val="14"/>
      <color indexed="10"/>
      <name val="Arial"/>
      <family val="2"/>
    </font>
    <font>
      <sz val="12"/>
      <name val="Arial"/>
      <family val="2"/>
    </font>
    <font>
      <b/>
      <sz val="12"/>
      <name val="Arial"/>
      <family val="2"/>
    </font>
    <font>
      <b/>
      <u val="single"/>
      <sz val="12"/>
      <name val="Arial"/>
      <family val="2"/>
    </font>
    <font>
      <sz val="10"/>
      <color indexed="10"/>
      <name val="Arial"/>
      <family val="2"/>
    </font>
    <font>
      <sz val="10"/>
      <color indexed="53"/>
      <name val="Arial"/>
      <family val="2"/>
    </font>
    <font>
      <i/>
      <sz val="10"/>
      <name val="Arial"/>
      <family val="2"/>
    </font>
    <font>
      <sz val="10"/>
      <name val="Verdana"/>
      <family val="0"/>
    </font>
    <font>
      <b/>
      <sz val="10"/>
      <name val="Arial"/>
      <family val="2"/>
    </font>
    <font>
      <sz val="10"/>
      <color indexed="8"/>
      <name val="Arial"/>
      <family val="2"/>
    </font>
    <font>
      <b/>
      <sz val="18"/>
      <name val="Arial"/>
      <family val="2"/>
    </font>
    <font>
      <sz val="11"/>
      <name val="Arial"/>
      <family val="2"/>
    </font>
    <font>
      <b/>
      <sz val="8"/>
      <color indexed="8"/>
      <name val="Nimbus Roman No9 L"/>
      <family val="1"/>
    </font>
    <font>
      <sz val="8"/>
      <color indexed="8"/>
      <name val="Nimbus Roman No9 L"/>
      <family val="1"/>
    </font>
    <font>
      <sz val="12"/>
      <color indexed="14"/>
      <name val="Arial"/>
      <family val="2"/>
    </font>
    <font>
      <sz val="12"/>
      <color indexed="10"/>
      <name val="Arial"/>
      <family val="2"/>
    </font>
    <font>
      <b/>
      <sz val="12"/>
      <color indexed="10"/>
      <name val="Arial"/>
      <family val="2"/>
    </font>
    <font>
      <b/>
      <i/>
      <sz val="12"/>
      <name val="Arial"/>
      <family val="2"/>
    </font>
    <font>
      <sz val="12"/>
      <color indexed="8"/>
      <name val="Arial"/>
      <family val="2"/>
    </font>
    <font>
      <sz val="12"/>
      <color indexed="25"/>
      <name val="Arial"/>
      <family val="2"/>
    </font>
    <font>
      <b/>
      <i/>
      <sz val="12"/>
      <color indexed="8"/>
      <name val="Arial"/>
      <family val="2"/>
    </font>
    <font>
      <i/>
      <sz val="12"/>
      <name val="Arial"/>
      <family val="2"/>
    </font>
    <font>
      <u val="single"/>
      <sz val="12"/>
      <name val="Arial"/>
      <family val="2"/>
    </font>
    <font>
      <u val="single"/>
      <sz val="12"/>
      <color indexed="8"/>
      <name val="Arial"/>
      <family val="2"/>
    </font>
    <font>
      <sz val="14"/>
      <color indexed="8"/>
      <name val="Arial"/>
      <family val="2"/>
    </font>
    <font>
      <b/>
      <sz val="12"/>
      <color indexed="25"/>
      <name val="Arial"/>
      <family val="2"/>
    </font>
    <font>
      <b/>
      <sz val="12"/>
      <color indexed="8"/>
      <name val="Arial"/>
      <family val="2"/>
    </font>
    <font>
      <b/>
      <sz val="12"/>
      <color indexed="11"/>
      <name val="Arial"/>
      <family val="2"/>
    </font>
    <font>
      <sz val="12"/>
      <color indexed="11"/>
      <name val="Arial"/>
      <family val="2"/>
    </font>
    <font>
      <sz val="12"/>
      <color indexed="12"/>
      <name val="Arial"/>
      <family val="2"/>
    </font>
    <font>
      <sz val="14"/>
      <name val="Arial"/>
      <family val="2"/>
    </font>
    <font>
      <sz val="14"/>
      <color indexed="10"/>
      <name val="Arial"/>
      <family val="2"/>
    </font>
    <font>
      <b/>
      <sz val="16"/>
      <name val="Arial"/>
      <family val="2"/>
    </font>
    <font>
      <b/>
      <sz val="12"/>
      <color indexed="14"/>
      <name val="Arial"/>
      <family val="2"/>
    </font>
    <font>
      <b/>
      <sz val="10"/>
      <color indexed="10"/>
      <name val="Arial"/>
      <family val="2"/>
    </font>
    <font>
      <b/>
      <i/>
      <sz val="10"/>
      <name val="Arial"/>
      <family val="2"/>
    </font>
    <font>
      <sz val="10"/>
      <color indexed="12"/>
      <name val="Arial"/>
      <family val="2"/>
    </font>
    <font>
      <sz val="8"/>
      <name val="Verdana"/>
      <family val="0"/>
    </font>
    <font>
      <u val="single"/>
      <sz val="10"/>
      <color indexed="12"/>
      <name val="Arial"/>
      <family val="0"/>
    </font>
    <font>
      <u val="single"/>
      <sz val="10"/>
      <color indexed="61"/>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3"/>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double">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double">
        <color indexed="8"/>
      </top>
      <bottom>
        <color indexed="63"/>
      </bottom>
    </border>
    <border>
      <left>
        <color indexed="63"/>
      </left>
      <right style="thin">
        <color indexed="8"/>
      </right>
      <top>
        <color indexed="63"/>
      </top>
      <bottom style="thin">
        <color indexed="8"/>
      </bottom>
    </border>
    <border>
      <left style="double">
        <color indexed="8"/>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style="double">
        <color indexed="8"/>
      </right>
      <top>
        <color indexed="63"/>
      </top>
      <bottom>
        <color indexed="63"/>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color indexed="63"/>
      </right>
      <top>
        <color indexed="63"/>
      </top>
      <bottom>
        <color indexed="63"/>
      </bottom>
    </border>
    <border>
      <left>
        <color indexed="63"/>
      </left>
      <right style="double">
        <color indexed="8"/>
      </right>
      <top>
        <color indexed="63"/>
      </top>
      <bottom style="double">
        <color indexed="8"/>
      </bottom>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style="medium">
        <color indexed="8"/>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top>
        <color indexed="63"/>
      </top>
      <bottom>
        <color indexed="63"/>
      </bottom>
    </border>
    <border>
      <left style="thin">
        <color indexed="8"/>
      </left>
      <right style="medium"/>
      <top style="thin">
        <color indexed="8"/>
      </top>
      <bottom style="thin">
        <color indexed="8"/>
      </bottom>
    </border>
  </borders>
  <cellStyleXfs count="64">
    <xf numFmtId="168"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1" fillId="2" borderId="0" applyNumberFormat="0" applyBorder="0" applyAlignment="0" applyProtection="0"/>
    <xf numFmtId="168" fontId="1" fillId="3" borderId="0" applyNumberFormat="0" applyBorder="0" applyAlignment="0" applyProtection="0"/>
    <xf numFmtId="168" fontId="1" fillId="4" borderId="0" applyNumberFormat="0" applyBorder="0" applyAlignment="0" applyProtection="0"/>
    <xf numFmtId="168" fontId="1" fillId="5" borderId="0" applyNumberFormat="0" applyBorder="0" applyAlignment="0" applyProtection="0"/>
    <xf numFmtId="168" fontId="1" fillId="6" borderId="0" applyNumberFormat="0" applyBorder="0" applyAlignment="0" applyProtection="0"/>
    <xf numFmtId="168" fontId="1" fillId="7" borderId="0" applyNumberFormat="0" applyBorder="0" applyAlignment="0" applyProtection="0"/>
    <xf numFmtId="168" fontId="1" fillId="8" borderId="0" applyNumberFormat="0" applyBorder="0" applyAlignment="0" applyProtection="0"/>
    <xf numFmtId="168" fontId="1" fillId="9" borderId="0" applyNumberFormat="0" applyBorder="0" applyAlignment="0" applyProtection="0"/>
    <xf numFmtId="168" fontId="1" fillId="10" borderId="0" applyNumberFormat="0" applyBorder="0" applyAlignment="0" applyProtection="0"/>
    <xf numFmtId="168" fontId="1" fillId="5" borderId="0" applyNumberFormat="0" applyBorder="0" applyAlignment="0" applyProtection="0"/>
    <xf numFmtId="168" fontId="1" fillId="8" borderId="0" applyNumberFormat="0" applyBorder="0" applyAlignment="0" applyProtection="0"/>
    <xf numFmtId="168" fontId="1" fillId="11" borderId="0" applyNumberFormat="0" applyBorder="0" applyAlignment="0" applyProtection="0"/>
    <xf numFmtId="168" fontId="2" fillId="12" borderId="0" applyNumberFormat="0" applyBorder="0" applyAlignment="0" applyProtection="0"/>
    <xf numFmtId="168" fontId="2" fillId="9" borderId="0" applyNumberFormat="0" applyBorder="0" applyAlignment="0" applyProtection="0"/>
    <xf numFmtId="168" fontId="2" fillId="10" borderId="0" applyNumberFormat="0" applyBorder="0" applyAlignment="0" applyProtection="0"/>
    <xf numFmtId="168" fontId="2" fillId="13" borderId="0" applyNumberFormat="0" applyBorder="0" applyAlignment="0" applyProtection="0"/>
    <xf numFmtId="168" fontId="2" fillId="14" borderId="0" applyNumberFormat="0" applyBorder="0" applyAlignment="0" applyProtection="0"/>
    <xf numFmtId="168" fontId="2" fillId="15" borderId="0" applyNumberFormat="0" applyBorder="0" applyAlignment="0" applyProtection="0"/>
    <xf numFmtId="168" fontId="2" fillId="16" borderId="0" applyNumberFormat="0" applyBorder="0" applyAlignment="0" applyProtection="0"/>
    <xf numFmtId="168" fontId="2" fillId="17" borderId="0" applyNumberFormat="0" applyBorder="0" applyAlignment="0" applyProtection="0"/>
    <xf numFmtId="168" fontId="2" fillId="18" borderId="0" applyNumberFormat="0" applyBorder="0" applyAlignment="0" applyProtection="0"/>
    <xf numFmtId="168" fontId="2" fillId="13" borderId="0" applyNumberFormat="0" applyBorder="0" applyAlignment="0" applyProtection="0"/>
    <xf numFmtId="168" fontId="2" fillId="14" borderId="0" applyNumberFormat="0" applyBorder="0" applyAlignment="0" applyProtection="0"/>
    <xf numFmtId="168" fontId="2" fillId="19" borderId="0" applyNumberFormat="0" applyBorder="0" applyAlignment="0" applyProtection="0"/>
    <xf numFmtId="168" fontId="3" fillId="3" borderId="0" applyNumberFormat="0" applyBorder="0" applyAlignment="0" applyProtection="0"/>
    <xf numFmtId="168" fontId="4" fillId="20" borderId="1" applyNumberFormat="0" applyAlignment="0" applyProtection="0"/>
    <xf numFmtId="168" fontId="5" fillId="21" borderId="2" applyNumberFormat="0" applyAlignment="0" applyProtection="0"/>
    <xf numFmtId="170" fontId="0" fillId="0" borderId="0" applyFill="0" applyBorder="0" applyAlignment="0" applyProtection="0"/>
    <xf numFmtId="41" fontId="0" fillId="0" borderId="0" applyFill="0" applyBorder="0" applyAlignment="0" applyProtection="0"/>
    <xf numFmtId="169"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8" fontId="6" fillId="0" borderId="0" applyNumberFormat="0" applyFill="0" applyBorder="0" applyAlignment="0" applyProtection="0"/>
    <xf numFmtId="0" fontId="58" fillId="0" borderId="0" applyNumberFormat="0" applyFill="0" applyBorder="0" applyAlignment="0" applyProtection="0"/>
    <xf numFmtId="168" fontId="7" fillId="4" borderId="0" applyNumberFormat="0" applyBorder="0" applyAlignment="0" applyProtection="0"/>
    <xf numFmtId="168" fontId="8" fillId="0" borderId="3" applyNumberFormat="0" applyFill="0" applyAlignment="0" applyProtection="0"/>
    <xf numFmtId="168" fontId="9" fillId="0" borderId="4" applyNumberFormat="0" applyFill="0" applyAlignment="0" applyProtection="0"/>
    <xf numFmtId="168" fontId="10" fillId="0" borderId="5" applyNumberFormat="0" applyFill="0" applyAlignment="0" applyProtection="0"/>
    <xf numFmtId="168" fontId="10" fillId="0" borderId="0" applyNumberFormat="0" applyFill="0" applyBorder="0" applyAlignment="0" applyProtection="0"/>
    <xf numFmtId="0" fontId="57" fillId="0" borderId="0" applyNumberFormat="0" applyFill="0" applyBorder="0" applyAlignment="0" applyProtection="0"/>
    <xf numFmtId="168" fontId="11" fillId="7" borderId="1" applyNumberFormat="0" applyAlignment="0" applyProtection="0"/>
    <xf numFmtId="168" fontId="12" fillId="0" borderId="6" applyNumberFormat="0" applyFill="0" applyAlignment="0" applyProtection="0"/>
    <xf numFmtId="168" fontId="13" fillId="22" borderId="0" applyNumberFormat="0" applyBorder="0" applyAlignment="0" applyProtection="0"/>
    <xf numFmtId="168" fontId="0" fillId="23" borderId="7" applyNumberFormat="0" applyAlignment="0" applyProtection="0"/>
    <xf numFmtId="168" fontId="14" fillId="20" borderId="8" applyNumberFormat="0" applyAlignment="0" applyProtection="0"/>
    <xf numFmtId="184" fontId="0" fillId="0" borderId="0" applyFill="0" applyBorder="0" applyAlignment="0" applyProtection="0"/>
    <xf numFmtId="168" fontId="15" fillId="0" borderId="0" applyNumberFormat="0" applyFill="0" applyBorder="0" applyAlignment="0" applyProtection="0"/>
    <xf numFmtId="168" fontId="16" fillId="0" borderId="9" applyNumberFormat="0" applyFill="0" applyAlignment="0" applyProtection="0"/>
    <xf numFmtId="168" fontId="17" fillId="0" borderId="0" applyNumberFormat="0" applyFill="0" applyBorder="0" applyAlignment="0" applyProtection="0"/>
  </cellStyleXfs>
  <cellXfs count="618">
    <xf numFmtId="168" fontId="0" fillId="0" borderId="0" xfId="0" applyAlignment="1">
      <alignment/>
    </xf>
    <xf numFmtId="168" fontId="0" fillId="0" borderId="0" xfId="0" applyAlignment="1">
      <alignment horizontal="center"/>
    </xf>
    <xf numFmtId="168" fontId="18" fillId="0" borderId="10" xfId="0" applyFont="1" applyBorder="1" applyAlignment="1">
      <alignment/>
    </xf>
    <xf numFmtId="168" fontId="0" fillId="0" borderId="10" xfId="0" applyBorder="1" applyAlignment="1">
      <alignment horizontal="center"/>
    </xf>
    <xf numFmtId="49" fontId="18" fillId="0" borderId="10" xfId="42" applyNumberFormat="1" applyFont="1" applyFill="1" applyBorder="1" applyAlignment="1" applyProtection="1">
      <alignment horizontal="right"/>
      <protection/>
    </xf>
    <xf numFmtId="168" fontId="19" fillId="0" borderId="10" xfId="42" applyNumberFormat="1" applyFont="1" applyFill="1" applyBorder="1" applyAlignment="1" applyProtection="1">
      <alignment horizontal="center"/>
      <protection/>
    </xf>
    <xf numFmtId="168" fontId="20" fillId="0" borderId="0" xfId="0" applyFont="1" applyAlignment="1">
      <alignment horizontal="right"/>
    </xf>
    <xf numFmtId="171" fontId="21" fillId="0" borderId="0" xfId="0" applyNumberFormat="1" applyFont="1" applyAlignment="1">
      <alignment horizontal="left"/>
    </xf>
    <xf numFmtId="168" fontId="20" fillId="0" borderId="0" xfId="0" applyFont="1" applyAlignment="1">
      <alignment/>
    </xf>
    <xf numFmtId="168" fontId="22" fillId="0" borderId="0" xfId="0" applyFont="1" applyAlignment="1">
      <alignment/>
    </xf>
    <xf numFmtId="20" fontId="21" fillId="0" borderId="0" xfId="0" applyNumberFormat="1" applyFont="1" applyAlignment="1">
      <alignment horizontal="left"/>
    </xf>
    <xf numFmtId="168" fontId="20" fillId="0" borderId="0" xfId="0" applyFont="1" applyAlignment="1">
      <alignment horizontal="center"/>
    </xf>
    <xf numFmtId="168" fontId="0" fillId="0" borderId="0" xfId="0" applyFont="1" applyAlignment="1">
      <alignment horizontal="right"/>
    </xf>
    <xf numFmtId="168" fontId="23" fillId="0" borderId="0" xfId="0" applyFont="1" applyAlignment="1">
      <alignment horizontal="left"/>
    </xf>
    <xf numFmtId="168" fontId="0" fillId="0" borderId="0" xfId="0" applyAlignment="1">
      <alignment horizontal="left"/>
    </xf>
    <xf numFmtId="168" fontId="18" fillId="0" borderId="11" xfId="0" applyFont="1" applyBorder="1" applyAlignment="1">
      <alignment/>
    </xf>
    <xf numFmtId="168" fontId="0" fillId="0" borderId="12" xfId="0" applyBorder="1" applyAlignment="1">
      <alignment horizontal="center"/>
    </xf>
    <xf numFmtId="168" fontId="0" fillId="0" borderId="12" xfId="0" applyFont="1" applyBorder="1" applyAlignment="1">
      <alignment horizontal="right"/>
    </xf>
    <xf numFmtId="172" fontId="23" fillId="0" borderId="13" xfId="0" applyNumberFormat="1" applyFont="1" applyBorder="1" applyAlignment="1">
      <alignment horizontal="center"/>
    </xf>
    <xf numFmtId="168" fontId="0" fillId="0" borderId="0" xfId="0" applyBorder="1" applyAlignment="1">
      <alignment/>
    </xf>
    <xf numFmtId="168" fontId="0" fillId="0" borderId="0" xfId="0" applyFont="1" applyAlignment="1">
      <alignment horizontal="center"/>
    </xf>
    <xf numFmtId="173" fontId="0" fillId="0" borderId="0" xfId="0" applyNumberFormat="1" applyFont="1" applyAlignment="1">
      <alignment horizontal="center"/>
    </xf>
    <xf numFmtId="168" fontId="0" fillId="0" borderId="0" xfId="0" applyBorder="1" applyAlignment="1">
      <alignment horizontal="center"/>
    </xf>
    <xf numFmtId="168" fontId="0" fillId="0" borderId="0" xfId="0" applyFont="1" applyBorder="1" applyAlignment="1">
      <alignment horizontal="right"/>
    </xf>
    <xf numFmtId="168" fontId="23" fillId="0" borderId="14" xfId="0" applyFont="1" applyBorder="1" applyAlignment="1">
      <alignment horizontal="center"/>
    </xf>
    <xf numFmtId="173" fontId="0" fillId="0" borderId="14" xfId="0" applyNumberFormat="1" applyBorder="1" applyAlignment="1">
      <alignment horizontal="center"/>
    </xf>
    <xf numFmtId="2" fontId="0" fillId="0" borderId="14" xfId="0" applyNumberFormat="1" applyBorder="1" applyAlignment="1">
      <alignment horizontal="center"/>
    </xf>
    <xf numFmtId="168" fontId="0" fillId="0" borderId="14" xfId="0" applyBorder="1" applyAlignment="1">
      <alignment horizontal="center"/>
    </xf>
    <xf numFmtId="168" fontId="0" fillId="0" borderId="0" xfId="0" applyFont="1" applyBorder="1" applyAlignment="1">
      <alignment horizontal="center"/>
    </xf>
    <xf numFmtId="173" fontId="0" fillId="24" borderId="0" xfId="0" applyNumberFormat="1" applyFont="1" applyFill="1" applyBorder="1" applyAlignment="1">
      <alignment horizontal="center"/>
    </xf>
    <xf numFmtId="2" fontId="0" fillId="0" borderId="0" xfId="0" applyNumberFormat="1" applyBorder="1" applyAlignment="1">
      <alignment horizontal="center"/>
    </xf>
    <xf numFmtId="168" fontId="0" fillId="0" borderId="0" xfId="0" applyFont="1" applyAlignment="1">
      <alignment horizontal="center"/>
    </xf>
    <xf numFmtId="2" fontId="0" fillId="0" borderId="0" xfId="0" applyNumberFormat="1" applyFont="1" applyAlignment="1">
      <alignment horizontal="center"/>
    </xf>
    <xf numFmtId="174" fontId="23" fillId="0" borderId="0" xfId="0" applyNumberFormat="1" applyFont="1" applyAlignment="1">
      <alignment horizontal="center"/>
    </xf>
    <xf numFmtId="173" fontId="0" fillId="0" borderId="0" xfId="0" applyNumberFormat="1" applyFont="1" applyAlignment="1">
      <alignment horizontal="center"/>
    </xf>
    <xf numFmtId="168" fontId="23" fillId="24" borderId="0" xfId="0" applyFont="1" applyFill="1" applyBorder="1" applyAlignment="1">
      <alignment horizontal="center"/>
    </xf>
    <xf numFmtId="168" fontId="23" fillId="0" borderId="0" xfId="0" applyFont="1" applyBorder="1" applyAlignment="1">
      <alignment horizontal="center"/>
    </xf>
    <xf numFmtId="173" fontId="23" fillId="0" borderId="0" xfId="0" applyNumberFormat="1" applyFont="1" applyAlignment="1">
      <alignment horizontal="center"/>
    </xf>
    <xf numFmtId="168" fontId="23" fillId="0" borderId="0" xfId="0" applyFont="1" applyAlignment="1">
      <alignment horizontal="center"/>
    </xf>
    <xf numFmtId="173" fontId="0" fillId="0" borderId="14" xfId="0" applyNumberFormat="1" applyFont="1" applyBorder="1" applyAlignment="1">
      <alignment horizontal="center"/>
    </xf>
    <xf numFmtId="173" fontId="0" fillId="0" borderId="0" xfId="0" applyNumberFormat="1" applyAlignment="1">
      <alignment/>
    </xf>
    <xf numFmtId="173" fontId="0" fillId="24" borderId="0" xfId="0" applyNumberFormat="1" applyFont="1" applyFill="1" applyBorder="1" applyAlignment="1">
      <alignment horizontal="center"/>
    </xf>
    <xf numFmtId="173" fontId="0" fillId="0" borderId="0" xfId="0" applyNumberFormat="1" applyFont="1" applyFill="1" applyBorder="1" applyAlignment="1">
      <alignment horizontal="center"/>
    </xf>
    <xf numFmtId="175" fontId="0" fillId="0" borderId="0" xfId="0" applyNumberFormat="1" applyFont="1" applyAlignment="1">
      <alignment horizontal="center"/>
    </xf>
    <xf numFmtId="176" fontId="0" fillId="0" borderId="0" xfId="0" applyNumberFormat="1" applyAlignment="1">
      <alignment horizontal="center"/>
    </xf>
    <xf numFmtId="172" fontId="0" fillId="0" borderId="13" xfId="0" applyNumberFormat="1" applyFont="1" applyFill="1" applyBorder="1" applyAlignment="1">
      <alignment horizontal="center"/>
    </xf>
    <xf numFmtId="168" fontId="24" fillId="0" borderId="0" xfId="0" applyFont="1" applyAlignment="1">
      <alignment/>
    </xf>
    <xf numFmtId="175" fontId="0" fillId="0" borderId="14" xfId="0" applyNumberFormat="1" applyFont="1" applyBorder="1" applyAlignment="1">
      <alignment horizontal="center"/>
    </xf>
    <xf numFmtId="168" fontId="0" fillId="0" borderId="0" xfId="0" applyFont="1" applyAlignment="1">
      <alignment horizontal="right"/>
    </xf>
    <xf numFmtId="173" fontId="0" fillId="0" borderId="14" xfId="0" applyNumberFormat="1" applyFont="1" applyBorder="1" applyAlignment="1">
      <alignment horizontal="center"/>
    </xf>
    <xf numFmtId="172" fontId="0" fillId="0" borderId="14" xfId="0" applyNumberFormat="1" applyFont="1" applyBorder="1" applyAlignment="1">
      <alignment horizontal="center"/>
    </xf>
    <xf numFmtId="168" fontId="25" fillId="0" borderId="0" xfId="0" applyFont="1" applyBorder="1" applyAlignment="1">
      <alignment horizontal="left"/>
    </xf>
    <xf numFmtId="168" fontId="25" fillId="0" borderId="0" xfId="0" applyFont="1" applyAlignment="1">
      <alignment horizontal="right"/>
    </xf>
    <xf numFmtId="2" fontId="0" fillId="0" borderId="14" xfId="0" applyNumberFormat="1" applyFont="1" applyBorder="1" applyAlignment="1">
      <alignment horizontal="center"/>
    </xf>
    <xf numFmtId="168" fontId="0" fillId="0" borderId="0" xfId="0" applyFont="1" applyBorder="1" applyAlignment="1">
      <alignment horizontal="left"/>
    </xf>
    <xf numFmtId="177" fontId="0" fillId="24" borderId="14" xfId="0" applyNumberFormat="1" applyFont="1" applyFill="1" applyBorder="1" applyAlignment="1">
      <alignment horizontal="center"/>
    </xf>
    <xf numFmtId="168" fontId="25" fillId="0" borderId="0" xfId="0" applyFont="1" applyAlignment="1">
      <alignment/>
    </xf>
    <xf numFmtId="2" fontId="0" fillId="0" borderId="14" xfId="0" applyNumberFormat="1" applyFont="1" applyFill="1" applyBorder="1" applyAlignment="1">
      <alignment horizontal="center"/>
    </xf>
    <xf numFmtId="168" fontId="25" fillId="0" borderId="0" xfId="0" applyFont="1" applyAlignment="1">
      <alignment horizontal="left"/>
    </xf>
    <xf numFmtId="168" fontId="25" fillId="0" borderId="0" xfId="0" applyFont="1" applyBorder="1" applyAlignment="1">
      <alignment horizontal="right"/>
    </xf>
    <xf numFmtId="178" fontId="25" fillId="0" borderId="0" xfId="0" applyNumberFormat="1" applyFont="1" applyBorder="1" applyAlignment="1">
      <alignment horizontal="center"/>
    </xf>
    <xf numFmtId="168" fontId="23" fillId="0" borderId="12" xfId="0" applyFont="1" applyBorder="1" applyAlignment="1">
      <alignment horizontal="center"/>
    </xf>
    <xf numFmtId="172" fontId="23" fillId="0" borderId="13" xfId="0" applyNumberFormat="1" applyFont="1" applyFill="1" applyBorder="1" applyAlignment="1">
      <alignment horizontal="center"/>
    </xf>
    <xf numFmtId="168" fontId="0" fillId="0" borderId="0" xfId="0" applyFont="1" applyFill="1" applyBorder="1" applyAlignment="1">
      <alignment horizontal="right"/>
    </xf>
    <xf numFmtId="179" fontId="23" fillId="0" borderId="0" xfId="0" applyNumberFormat="1" applyFont="1" applyAlignment="1">
      <alignment horizontal="center"/>
    </xf>
    <xf numFmtId="168" fontId="25" fillId="0" borderId="0" xfId="0" applyFont="1" applyBorder="1" applyAlignment="1">
      <alignment/>
    </xf>
    <xf numFmtId="168" fontId="0" fillId="0" borderId="0" xfId="0" applyFill="1" applyAlignment="1">
      <alignment/>
    </xf>
    <xf numFmtId="168" fontId="0" fillId="0" borderId="0" xfId="0" applyFont="1" applyFill="1" applyAlignment="1">
      <alignment horizontal="right"/>
    </xf>
    <xf numFmtId="172" fontId="23" fillId="0" borderId="0" xfId="0" applyNumberFormat="1" applyFont="1" applyFill="1" applyAlignment="1">
      <alignment horizontal="center"/>
    </xf>
    <xf numFmtId="168" fontId="0" fillId="0" borderId="0" xfId="0" applyFill="1" applyAlignment="1">
      <alignment horizontal="center"/>
    </xf>
    <xf numFmtId="168" fontId="0" fillId="0" borderId="0" xfId="0" applyFont="1" applyFill="1" applyAlignment="1">
      <alignment/>
    </xf>
    <xf numFmtId="173" fontId="23" fillId="0" borderId="0" xfId="0" applyNumberFormat="1" applyFont="1" applyFill="1" applyAlignment="1">
      <alignment horizontal="center"/>
    </xf>
    <xf numFmtId="173" fontId="0" fillId="0" borderId="0" xfId="0" applyNumberFormat="1" applyAlignment="1">
      <alignment horizontal="center"/>
    </xf>
    <xf numFmtId="168" fontId="0" fillId="0" borderId="0" xfId="0" applyFont="1" applyBorder="1" applyAlignment="1">
      <alignment horizontal="center"/>
    </xf>
    <xf numFmtId="168" fontId="26" fillId="0" borderId="0" xfId="0" applyFont="1" applyBorder="1" applyAlignment="1">
      <alignment horizontal="center"/>
    </xf>
    <xf numFmtId="168" fontId="23" fillId="0" borderId="0" xfId="0" applyNumberFormat="1" applyFont="1" applyFill="1" applyAlignment="1">
      <alignment horizontal="center"/>
    </xf>
    <xf numFmtId="179" fontId="23" fillId="0" borderId="0" xfId="0" applyNumberFormat="1" applyFont="1" applyFill="1" applyAlignment="1">
      <alignment horizontal="center"/>
    </xf>
    <xf numFmtId="49" fontId="23" fillId="0" borderId="0" xfId="0" applyNumberFormat="1" applyFont="1" applyFill="1" applyAlignment="1">
      <alignment horizontal="center"/>
    </xf>
    <xf numFmtId="49" fontId="23" fillId="0" borderId="0" xfId="0" applyNumberFormat="1" applyFont="1" applyBorder="1" applyAlignment="1">
      <alignment horizontal="center"/>
    </xf>
    <xf numFmtId="173" fontId="27" fillId="0" borderId="0" xfId="0" applyNumberFormat="1" applyFont="1" applyAlignment="1">
      <alignment horizontal="left"/>
    </xf>
    <xf numFmtId="49" fontId="23" fillId="0" borderId="0" xfId="0" applyNumberFormat="1" applyFont="1" applyFill="1" applyBorder="1" applyAlignment="1">
      <alignment horizontal="center"/>
    </xf>
    <xf numFmtId="173" fontId="23" fillId="0" borderId="0" xfId="0" applyNumberFormat="1" applyFont="1" applyFill="1" applyBorder="1" applyAlignment="1">
      <alignment horizontal="center"/>
    </xf>
    <xf numFmtId="180" fontId="23" fillId="0" borderId="0" xfId="0" applyNumberFormat="1" applyFont="1" applyBorder="1" applyAlignment="1">
      <alignment horizontal="center"/>
    </xf>
    <xf numFmtId="181" fontId="23" fillId="0" borderId="0" xfId="0" applyNumberFormat="1" applyFont="1" applyBorder="1" applyAlignment="1">
      <alignment horizontal="center"/>
    </xf>
    <xf numFmtId="168" fontId="28" fillId="0" borderId="14" xfId="0" applyFont="1" applyBorder="1" applyAlignment="1">
      <alignment horizontal="right"/>
    </xf>
    <xf numFmtId="182" fontId="23" fillId="0" borderId="14" xfId="0" applyNumberFormat="1" applyFont="1" applyBorder="1" applyAlignment="1">
      <alignment horizontal="center"/>
    </xf>
    <xf numFmtId="168" fontId="0" fillId="0" borderId="14" xfId="0" applyFont="1" applyBorder="1" applyAlignment="1">
      <alignment horizontal="right"/>
    </xf>
    <xf numFmtId="182" fontId="23" fillId="0" borderId="15" xfId="0" applyNumberFormat="1" applyFont="1" applyBorder="1" applyAlignment="1">
      <alignment horizontal="center"/>
    </xf>
    <xf numFmtId="179" fontId="23" fillId="0" borderId="14" xfId="0" applyNumberFormat="1" applyFont="1" applyBorder="1" applyAlignment="1">
      <alignment horizontal="center"/>
    </xf>
    <xf numFmtId="182" fontId="28" fillId="0" borderId="14" xfId="0" applyNumberFormat="1" applyFont="1" applyBorder="1" applyAlignment="1">
      <alignment horizontal="center"/>
    </xf>
    <xf numFmtId="172" fontId="0" fillId="0" borderId="0" xfId="0" applyNumberFormat="1" applyAlignment="1">
      <alignment horizontal="center"/>
    </xf>
    <xf numFmtId="168" fontId="23" fillId="0" borderId="0" xfId="0" applyFont="1" applyFill="1" applyBorder="1" applyAlignment="1">
      <alignment horizontal="center"/>
    </xf>
    <xf numFmtId="171" fontId="23" fillId="0" borderId="0" xfId="0" applyNumberFormat="1" applyFont="1" applyAlignment="1">
      <alignment horizontal="center"/>
    </xf>
    <xf numFmtId="168" fontId="0" fillId="0" borderId="0" xfId="0" applyFont="1" applyBorder="1" applyAlignment="1">
      <alignment horizontal="center" vertical="center"/>
    </xf>
    <xf numFmtId="183" fontId="23" fillId="0" borderId="16" xfId="0" applyNumberFormat="1" applyFont="1" applyFill="1" applyBorder="1" applyAlignment="1">
      <alignment horizontal="center"/>
    </xf>
    <xf numFmtId="168" fontId="23" fillId="0" borderId="0" xfId="0" applyFont="1" applyFill="1" applyAlignment="1">
      <alignment/>
    </xf>
    <xf numFmtId="168" fontId="0" fillId="0" borderId="0" xfId="0" applyFont="1" applyFill="1" applyAlignment="1">
      <alignment horizontal="center"/>
    </xf>
    <xf numFmtId="2" fontId="23" fillId="0" borderId="14" xfId="0" applyNumberFormat="1" applyFont="1" applyFill="1" applyBorder="1" applyAlignment="1">
      <alignment horizontal="center"/>
    </xf>
    <xf numFmtId="183" fontId="23" fillId="0" borderId="15" xfId="0" applyNumberFormat="1" applyFont="1" applyFill="1" applyBorder="1" applyAlignment="1">
      <alignment horizontal="center"/>
    </xf>
    <xf numFmtId="183" fontId="23" fillId="0" borderId="14" xfId="0" applyNumberFormat="1" applyFont="1" applyFill="1" applyBorder="1" applyAlignment="1">
      <alignment horizontal="center"/>
    </xf>
    <xf numFmtId="178" fontId="23" fillId="0" borderId="14" xfId="0" applyNumberFormat="1" applyFont="1" applyFill="1" applyBorder="1" applyAlignment="1">
      <alignment horizontal="center"/>
    </xf>
    <xf numFmtId="2" fontId="23" fillId="0" borderId="17" xfId="0" applyNumberFormat="1" applyFont="1" applyFill="1" applyBorder="1" applyAlignment="1">
      <alignment horizontal="center"/>
    </xf>
    <xf numFmtId="168" fontId="29" fillId="0" borderId="0" xfId="0" applyFont="1" applyAlignment="1">
      <alignment horizontal="left"/>
    </xf>
    <xf numFmtId="171" fontId="21" fillId="0" borderId="0" xfId="0" applyNumberFormat="1" applyFont="1" applyAlignment="1">
      <alignment horizontal="center"/>
    </xf>
    <xf numFmtId="168" fontId="18" fillId="0" borderId="0" xfId="0" applyFont="1" applyAlignment="1">
      <alignment horizontal="center"/>
    </xf>
    <xf numFmtId="168" fontId="29" fillId="0" borderId="0" xfId="0" applyFont="1" applyAlignment="1">
      <alignment horizontal="right"/>
    </xf>
    <xf numFmtId="168" fontId="29" fillId="0" borderId="0" xfId="0" applyNumberFormat="1" applyFont="1" applyAlignment="1">
      <alignment horizontal="left"/>
    </xf>
    <xf numFmtId="168" fontId="18" fillId="0" borderId="0" xfId="0" applyFont="1" applyAlignment="1">
      <alignment/>
    </xf>
    <xf numFmtId="172" fontId="30" fillId="0" borderId="0" xfId="0" applyNumberFormat="1" applyFont="1" applyAlignment="1">
      <alignment horizontal="center"/>
    </xf>
    <xf numFmtId="168" fontId="19" fillId="0" borderId="0" xfId="0" applyFont="1" applyAlignment="1">
      <alignment horizontal="center"/>
    </xf>
    <xf numFmtId="168" fontId="18" fillId="0" borderId="0" xfId="0" applyFont="1" applyBorder="1" applyAlignment="1">
      <alignment horizontal="center"/>
    </xf>
    <xf numFmtId="168" fontId="33" fillId="0" borderId="0" xfId="0" applyFont="1" applyAlignment="1">
      <alignment horizontal="center"/>
    </xf>
    <xf numFmtId="168" fontId="33" fillId="0" borderId="0" xfId="0" applyFont="1" applyAlignment="1">
      <alignment/>
    </xf>
    <xf numFmtId="168" fontId="34" fillId="0" borderId="0" xfId="0" applyFont="1" applyAlignment="1">
      <alignment/>
    </xf>
    <xf numFmtId="168" fontId="33" fillId="0" borderId="0" xfId="0" applyFont="1" applyAlignment="1">
      <alignment horizontal="left"/>
    </xf>
    <xf numFmtId="168" fontId="33" fillId="0" borderId="0" xfId="0" applyFont="1" applyBorder="1" applyAlignment="1">
      <alignment horizontal="center"/>
    </xf>
    <xf numFmtId="173" fontId="20" fillId="0" borderId="0" xfId="0" applyNumberFormat="1" applyFont="1" applyAlignment="1">
      <alignment horizontal="center"/>
    </xf>
    <xf numFmtId="168" fontId="20" fillId="0" borderId="0" xfId="0" applyFont="1" applyBorder="1" applyAlignment="1">
      <alignment/>
    </xf>
    <xf numFmtId="168" fontId="20" fillId="0" borderId="0" xfId="0" applyFont="1" applyBorder="1" applyAlignment="1">
      <alignment horizontal="center"/>
    </xf>
    <xf numFmtId="168" fontId="34" fillId="0" borderId="0" xfId="0" applyFont="1" applyBorder="1" applyAlignment="1">
      <alignment/>
    </xf>
    <xf numFmtId="179" fontId="20" fillId="0" borderId="0" xfId="0" applyNumberFormat="1" applyFont="1" applyBorder="1" applyAlignment="1">
      <alignment/>
    </xf>
    <xf numFmtId="168" fontId="21" fillId="0" borderId="0" xfId="0" applyFont="1" applyAlignment="1">
      <alignment horizontal="center"/>
    </xf>
    <xf numFmtId="179" fontId="20" fillId="0" borderId="0" xfId="0" applyNumberFormat="1" applyFont="1" applyAlignment="1">
      <alignment/>
    </xf>
    <xf numFmtId="168" fontId="35" fillId="0" borderId="0" xfId="0" applyFont="1" applyAlignment="1">
      <alignment horizontal="left"/>
    </xf>
    <xf numFmtId="168" fontId="20" fillId="0" borderId="0" xfId="0" applyFont="1" applyFill="1" applyAlignment="1">
      <alignment horizontal="center"/>
    </xf>
    <xf numFmtId="168" fontId="36" fillId="0" borderId="0" xfId="0" applyFont="1" applyAlignment="1">
      <alignment horizontal="center"/>
    </xf>
    <xf numFmtId="168" fontId="20" fillId="0" borderId="0" xfId="0" applyFont="1" applyFill="1" applyAlignment="1">
      <alignment/>
    </xf>
    <xf numFmtId="168" fontId="34" fillId="0" borderId="0" xfId="0" applyFont="1" applyFill="1" applyAlignment="1">
      <alignment horizontal="left"/>
    </xf>
    <xf numFmtId="168" fontId="34" fillId="0" borderId="0" xfId="0" applyFont="1" applyFill="1" applyAlignment="1">
      <alignment/>
    </xf>
    <xf numFmtId="168" fontId="20" fillId="0" borderId="0" xfId="0" applyFont="1" applyFill="1" applyBorder="1" applyAlignment="1">
      <alignment/>
    </xf>
    <xf numFmtId="168" fontId="20" fillId="0" borderId="0" xfId="0" applyFont="1" applyFill="1" applyBorder="1" applyAlignment="1">
      <alignment horizontal="center"/>
    </xf>
    <xf numFmtId="168" fontId="34" fillId="0" borderId="0" xfId="0" applyFont="1" applyFill="1" applyBorder="1" applyAlignment="1">
      <alignment horizontal="center"/>
    </xf>
    <xf numFmtId="179" fontId="20" fillId="0" borderId="0" xfId="0" applyNumberFormat="1" applyFont="1" applyBorder="1" applyAlignment="1">
      <alignment horizontal="center"/>
    </xf>
    <xf numFmtId="168" fontId="20" fillId="0" borderId="0" xfId="0" applyFont="1" applyAlignment="1">
      <alignment horizontal="left"/>
    </xf>
    <xf numFmtId="179" fontId="34" fillId="0" borderId="18" xfId="0" applyNumberFormat="1" applyFont="1" applyBorder="1" applyAlignment="1">
      <alignment/>
    </xf>
    <xf numFmtId="16" fontId="20" fillId="0" borderId="0" xfId="0" applyNumberFormat="1" applyFont="1" applyAlignment="1">
      <alignment/>
    </xf>
    <xf numFmtId="173" fontId="20" fillId="0" borderId="0" xfId="0" applyNumberFormat="1" applyFont="1" applyAlignment="1">
      <alignment horizontal="right"/>
    </xf>
    <xf numFmtId="173" fontId="34" fillId="24" borderId="0" xfId="0" applyNumberFormat="1" applyFont="1" applyFill="1" applyAlignment="1">
      <alignment horizontal="center"/>
    </xf>
    <xf numFmtId="168" fontId="34" fillId="0" borderId="0" xfId="0" applyFont="1" applyAlignment="1">
      <alignment horizontal="left"/>
    </xf>
    <xf numFmtId="173" fontId="20" fillId="0" borderId="0" xfId="0" applyNumberFormat="1" applyFont="1" applyAlignment="1">
      <alignment/>
    </xf>
    <xf numFmtId="168" fontId="20" fillId="0" borderId="0" xfId="0" applyFont="1" applyBorder="1" applyAlignment="1">
      <alignment horizontal="right"/>
    </xf>
    <xf numFmtId="173" fontId="20" fillId="0" borderId="0" xfId="0" applyNumberFormat="1" applyFont="1" applyBorder="1" applyAlignment="1">
      <alignment horizontal="center"/>
    </xf>
    <xf numFmtId="179" fontId="37" fillId="0" borderId="0" xfId="0" applyNumberFormat="1" applyFont="1" applyFill="1" applyBorder="1" applyAlignment="1">
      <alignment horizontal="center"/>
    </xf>
    <xf numFmtId="168" fontId="34" fillId="0" borderId="0" xfId="0" applyFont="1" applyAlignment="1">
      <alignment horizontal="center"/>
    </xf>
    <xf numFmtId="168" fontId="38" fillId="0" borderId="0" xfId="0" applyFont="1" applyAlignment="1">
      <alignment horizontal="right"/>
    </xf>
    <xf numFmtId="168" fontId="34" fillId="0" borderId="0" xfId="0" applyFont="1" applyBorder="1" applyAlignment="1">
      <alignment horizontal="center"/>
    </xf>
    <xf numFmtId="168" fontId="38" fillId="0" borderId="0" xfId="0" applyFont="1" applyAlignment="1">
      <alignment horizontal="left"/>
    </xf>
    <xf numFmtId="168" fontId="21" fillId="0" borderId="0" xfId="0" applyFont="1" applyAlignment="1">
      <alignment horizontal="left"/>
    </xf>
    <xf numFmtId="173" fontId="33" fillId="0" borderId="0" xfId="0" applyNumberFormat="1" applyFont="1" applyAlignment="1">
      <alignment horizontal="center"/>
    </xf>
    <xf numFmtId="179" fontId="20" fillId="0" borderId="0" xfId="0" applyNumberFormat="1" applyFont="1" applyAlignment="1">
      <alignment horizontal="center"/>
    </xf>
    <xf numFmtId="168" fontId="34" fillId="0" borderId="0" xfId="0" applyFont="1" applyBorder="1" applyAlignment="1">
      <alignment horizontal="left"/>
    </xf>
    <xf numFmtId="173" fontId="20" fillId="0" borderId="0" xfId="0" applyNumberFormat="1" applyFont="1" applyFill="1" applyAlignment="1">
      <alignment horizontal="center"/>
    </xf>
    <xf numFmtId="173" fontId="20" fillId="0" borderId="0" xfId="0" applyNumberFormat="1" applyFont="1" applyAlignment="1">
      <alignment horizontal="left"/>
    </xf>
    <xf numFmtId="168" fontId="20" fillId="0" borderId="0" xfId="0" applyFont="1" applyFill="1" applyAlignment="1">
      <alignment horizontal="right"/>
    </xf>
    <xf numFmtId="176" fontId="34" fillId="24" borderId="0" xfId="0" applyNumberFormat="1" applyFont="1" applyFill="1" applyAlignment="1">
      <alignment horizontal="center"/>
    </xf>
    <xf numFmtId="168" fontId="20" fillId="0" borderId="0" xfId="0" applyFont="1" applyBorder="1" applyAlignment="1">
      <alignment horizontal="left"/>
    </xf>
    <xf numFmtId="168" fontId="37" fillId="0" borderId="0" xfId="0" applyFont="1" applyBorder="1" applyAlignment="1">
      <alignment horizontal="right"/>
    </xf>
    <xf numFmtId="10" fontId="34" fillId="24" borderId="0" xfId="60" applyNumberFormat="1" applyFont="1" applyFill="1" applyBorder="1" applyAlignment="1" applyProtection="1">
      <alignment horizontal="center"/>
      <protection/>
    </xf>
    <xf numFmtId="185" fontId="37" fillId="14" borderId="0" xfId="42" applyNumberFormat="1" applyFont="1" applyFill="1" applyBorder="1" applyAlignment="1" applyProtection="1">
      <alignment horizontal="center"/>
      <protection/>
    </xf>
    <xf numFmtId="168" fontId="37" fillId="0" borderId="0" xfId="0" applyFont="1" applyBorder="1" applyAlignment="1">
      <alignment horizontal="left"/>
    </xf>
    <xf numFmtId="168" fontId="37" fillId="0" borderId="0" xfId="0" applyFont="1" applyBorder="1" applyAlignment="1">
      <alignment/>
    </xf>
    <xf numFmtId="179" fontId="37" fillId="0" borderId="0" xfId="0" applyNumberFormat="1" applyFont="1" applyBorder="1" applyAlignment="1">
      <alignment horizontal="right"/>
    </xf>
    <xf numFmtId="179" fontId="37" fillId="0" borderId="0" xfId="0" applyNumberFormat="1" applyFont="1" applyBorder="1" applyAlignment="1">
      <alignment horizontal="center"/>
    </xf>
    <xf numFmtId="168" fontId="37" fillId="0" borderId="0" xfId="0" applyFont="1" applyBorder="1" applyAlignment="1">
      <alignment horizontal="center"/>
    </xf>
    <xf numFmtId="184" fontId="34" fillId="0" borderId="0" xfId="60" applyFont="1" applyFill="1" applyBorder="1" applyAlignment="1" applyProtection="1">
      <alignment horizontal="center"/>
      <protection/>
    </xf>
    <xf numFmtId="168" fontId="0" fillId="0" borderId="0" xfId="0" applyFont="1" applyAlignment="1">
      <alignment horizontal="left"/>
    </xf>
    <xf numFmtId="168" fontId="39" fillId="0" borderId="0" xfId="0" applyFont="1" applyBorder="1" applyAlignment="1">
      <alignment horizontal="center"/>
    </xf>
    <xf numFmtId="178" fontId="37" fillId="0" borderId="0" xfId="0" applyNumberFormat="1" applyFont="1" applyAlignment="1">
      <alignment horizontal="right"/>
    </xf>
    <xf numFmtId="3" fontId="37" fillId="0" borderId="0" xfId="0" applyNumberFormat="1" applyFont="1" applyFill="1" applyBorder="1" applyAlignment="1">
      <alignment horizontal="right"/>
    </xf>
    <xf numFmtId="178" fontId="20" fillId="0" borderId="0" xfId="0" applyNumberFormat="1" applyFont="1" applyAlignment="1">
      <alignment horizontal="center"/>
    </xf>
    <xf numFmtId="178" fontId="40" fillId="0" borderId="0" xfId="0" applyNumberFormat="1" applyFont="1" applyAlignment="1">
      <alignment/>
    </xf>
    <xf numFmtId="178" fontId="20" fillId="0" borderId="0" xfId="0" applyNumberFormat="1" applyFont="1" applyAlignment="1">
      <alignment horizontal="center" vertical="center"/>
    </xf>
    <xf numFmtId="186" fontId="20" fillId="0" borderId="0" xfId="0" applyNumberFormat="1" applyFont="1" applyAlignment="1">
      <alignment horizontal="left"/>
    </xf>
    <xf numFmtId="185" fontId="20" fillId="0" borderId="0" xfId="0" applyNumberFormat="1" applyFont="1" applyBorder="1" applyAlignment="1">
      <alignment/>
    </xf>
    <xf numFmtId="170" fontId="20" fillId="0" borderId="0" xfId="0" applyNumberFormat="1" applyFont="1" applyAlignment="1">
      <alignment/>
    </xf>
    <xf numFmtId="178" fontId="37" fillId="0" borderId="0" xfId="0" applyNumberFormat="1" applyFont="1" applyBorder="1" applyAlignment="1">
      <alignment horizontal="center"/>
    </xf>
    <xf numFmtId="179" fontId="20" fillId="15" borderId="0" xfId="0" applyNumberFormat="1" applyFont="1" applyFill="1" applyBorder="1" applyAlignment="1">
      <alignment horizontal="center"/>
    </xf>
    <xf numFmtId="185" fontId="37" fillId="0" borderId="0" xfId="42" applyNumberFormat="1" applyFont="1" applyFill="1" applyBorder="1" applyAlignment="1" applyProtection="1">
      <alignment horizontal="center"/>
      <protection/>
    </xf>
    <xf numFmtId="178" fontId="20" fillId="0" borderId="0" xfId="0" applyNumberFormat="1" applyFont="1" applyBorder="1" applyAlignment="1">
      <alignment horizontal="center"/>
    </xf>
    <xf numFmtId="172" fontId="37" fillId="0" borderId="0" xfId="0" applyNumberFormat="1" applyFont="1" applyBorder="1" applyAlignment="1">
      <alignment horizontal="right"/>
    </xf>
    <xf numFmtId="168" fontId="37" fillId="0" borderId="0" xfId="0" applyFont="1" applyAlignment="1">
      <alignment horizontal="center"/>
    </xf>
    <xf numFmtId="168" fontId="37" fillId="0" borderId="0" xfId="0" applyFont="1" applyAlignment="1">
      <alignment/>
    </xf>
    <xf numFmtId="2" fontId="20" fillId="0" borderId="0" xfId="0" applyNumberFormat="1" applyFont="1" applyBorder="1" applyAlignment="1">
      <alignment horizontal="center"/>
    </xf>
    <xf numFmtId="173" fontId="20" fillId="0" borderId="0" xfId="0" applyNumberFormat="1" applyFont="1" applyBorder="1" applyAlignment="1">
      <alignment/>
    </xf>
    <xf numFmtId="168" fontId="41" fillId="0" borderId="0" xfId="0" applyFont="1" applyBorder="1" applyAlignment="1">
      <alignment horizontal="center"/>
    </xf>
    <xf numFmtId="168" fontId="42" fillId="0" borderId="0" xfId="0" applyFont="1" applyBorder="1" applyAlignment="1">
      <alignment horizontal="center"/>
    </xf>
    <xf numFmtId="173" fontId="37" fillId="0" borderId="0" xfId="0" applyNumberFormat="1" applyFont="1" applyBorder="1" applyAlignment="1">
      <alignment horizontal="center"/>
    </xf>
    <xf numFmtId="168" fontId="33" fillId="0" borderId="0" xfId="0" applyFont="1" applyBorder="1" applyAlignment="1">
      <alignment horizontal="left"/>
    </xf>
    <xf numFmtId="2" fontId="37" fillId="0" borderId="0" xfId="0" applyNumberFormat="1" applyFont="1" applyBorder="1" applyAlignment="1">
      <alignment horizontal="center"/>
    </xf>
    <xf numFmtId="168" fontId="37" fillId="0" borderId="10" xfId="0" applyFont="1" applyBorder="1" applyAlignment="1">
      <alignment horizontal="center"/>
    </xf>
    <xf numFmtId="168" fontId="37" fillId="0" borderId="10" xfId="0" applyFont="1" applyBorder="1" applyAlignment="1">
      <alignment/>
    </xf>
    <xf numFmtId="168" fontId="20" fillId="0" borderId="10" xfId="0" applyFont="1" applyBorder="1" applyAlignment="1">
      <alignment/>
    </xf>
    <xf numFmtId="168" fontId="20" fillId="0" borderId="10" xfId="0" applyFont="1" applyBorder="1" applyAlignment="1">
      <alignment horizontal="right"/>
    </xf>
    <xf numFmtId="2" fontId="33" fillId="0" borderId="10" xfId="0" applyNumberFormat="1" applyFont="1" applyBorder="1" applyAlignment="1">
      <alignment horizontal="center"/>
    </xf>
    <xf numFmtId="168" fontId="33" fillId="0" borderId="10" xfId="0" applyFont="1" applyBorder="1" applyAlignment="1">
      <alignment horizontal="left"/>
    </xf>
    <xf numFmtId="168" fontId="20" fillId="0" borderId="10" xfId="0" applyFont="1" applyBorder="1" applyAlignment="1">
      <alignment horizontal="center"/>
    </xf>
    <xf numFmtId="179" fontId="37" fillId="0" borderId="10" xfId="0" applyNumberFormat="1" applyFont="1" applyBorder="1" applyAlignment="1">
      <alignment horizontal="center"/>
    </xf>
    <xf numFmtId="2" fontId="37" fillId="0" borderId="10" xfId="0" applyNumberFormat="1" applyFont="1" applyBorder="1" applyAlignment="1">
      <alignment horizontal="center"/>
    </xf>
    <xf numFmtId="178" fontId="43" fillId="0" borderId="19" xfId="0" applyNumberFormat="1" applyFont="1" applyBorder="1" applyAlignment="1">
      <alignment horizontal="right"/>
    </xf>
    <xf numFmtId="168" fontId="20" fillId="0" borderId="19" xfId="0" applyFont="1" applyBorder="1" applyAlignment="1">
      <alignment/>
    </xf>
    <xf numFmtId="168" fontId="37" fillId="0" borderId="19" xfId="0" applyFont="1" applyBorder="1" applyAlignment="1">
      <alignment horizontal="left"/>
    </xf>
    <xf numFmtId="168" fontId="21" fillId="0" borderId="19" xfId="0" applyFont="1" applyBorder="1" applyAlignment="1">
      <alignment horizontal="center"/>
    </xf>
    <xf numFmtId="168" fontId="35" fillId="0" borderId="0" xfId="0" applyFont="1" applyFill="1" applyAlignment="1">
      <alignment horizontal="center"/>
    </xf>
    <xf numFmtId="168" fontId="21" fillId="0" borderId="0" xfId="0" applyFont="1" applyBorder="1" applyAlignment="1">
      <alignment horizontal="center"/>
    </xf>
    <xf numFmtId="168" fontId="35" fillId="0" borderId="0" xfId="0" applyFont="1" applyAlignment="1">
      <alignment horizontal="center"/>
    </xf>
    <xf numFmtId="168" fontId="35" fillId="0" borderId="19" xfId="0" applyFont="1" applyFill="1" applyBorder="1" applyAlignment="1">
      <alignment horizontal="center"/>
    </xf>
    <xf numFmtId="168" fontId="35" fillId="0" borderId="19" xfId="0" applyFont="1" applyBorder="1" applyAlignment="1">
      <alignment horizontal="center"/>
    </xf>
    <xf numFmtId="168" fontId="21" fillId="0" borderId="10" xfId="0" applyFont="1" applyBorder="1" applyAlignment="1">
      <alignment horizontal="center" wrapText="1"/>
    </xf>
    <xf numFmtId="168" fontId="21" fillId="0" borderId="10" xfId="0" applyFont="1" applyBorder="1" applyAlignment="1">
      <alignment horizontal="center"/>
    </xf>
    <xf numFmtId="168" fontId="21" fillId="0" borderId="20" xfId="0" applyFont="1" applyBorder="1" applyAlignment="1">
      <alignment horizontal="center"/>
    </xf>
    <xf numFmtId="168" fontId="35" fillId="0" borderId="10" xfId="0" applyFont="1" applyFill="1" applyBorder="1" applyAlignment="1">
      <alignment horizontal="center"/>
    </xf>
    <xf numFmtId="168" fontId="35" fillId="0" borderId="10" xfId="0" applyFont="1" applyBorder="1" applyAlignment="1">
      <alignment horizontal="center"/>
    </xf>
    <xf numFmtId="168" fontId="35" fillId="0" borderId="20" xfId="0" applyFont="1" applyFill="1" applyBorder="1" applyAlignment="1">
      <alignment horizontal="center"/>
    </xf>
    <xf numFmtId="168" fontId="35" fillId="0" borderId="20" xfId="0" applyFont="1" applyBorder="1" applyAlignment="1">
      <alignment horizontal="center"/>
    </xf>
    <xf numFmtId="168" fontId="35" fillId="0" borderId="0" xfId="0" applyFont="1" applyFill="1" applyBorder="1" applyAlignment="1">
      <alignment horizontal="center"/>
    </xf>
    <xf numFmtId="168" fontId="35" fillId="0" borderId="0" xfId="0" applyFont="1" applyBorder="1" applyAlignment="1">
      <alignment horizontal="center"/>
    </xf>
    <xf numFmtId="179" fontId="38" fillId="0" borderId="0" xfId="0" applyNumberFormat="1" applyFont="1" applyFill="1" applyAlignment="1">
      <alignment horizontal="center"/>
    </xf>
    <xf numFmtId="179" fontId="21" fillId="0" borderId="0" xfId="0" applyNumberFormat="1" applyFont="1" applyAlignment="1">
      <alignment horizontal="center"/>
    </xf>
    <xf numFmtId="168" fontId="21" fillId="0" borderId="0" xfId="0" applyFont="1" applyAlignment="1">
      <alignment/>
    </xf>
    <xf numFmtId="173" fontId="21" fillId="0" borderId="0" xfId="0" applyNumberFormat="1" applyFont="1" applyAlignment="1">
      <alignment horizontal="center"/>
    </xf>
    <xf numFmtId="168" fontId="20" fillId="0" borderId="19" xfId="0" applyFont="1" applyBorder="1" applyAlignment="1">
      <alignment horizontal="left"/>
    </xf>
    <xf numFmtId="179" fontId="44" fillId="0" borderId="0" xfId="0" applyNumberFormat="1" applyFont="1" applyFill="1" applyAlignment="1">
      <alignment/>
    </xf>
    <xf numFmtId="179" fontId="20" fillId="0" borderId="0" xfId="44" applyNumberFormat="1" applyFont="1" applyFill="1" applyBorder="1" applyAlignment="1" applyProtection="1">
      <alignment horizontal="left"/>
      <protection/>
    </xf>
    <xf numFmtId="179" fontId="21" fillId="0" borderId="0" xfId="0" applyNumberFormat="1" applyFont="1" applyFill="1" applyAlignment="1">
      <alignment horizontal="left"/>
    </xf>
    <xf numFmtId="168" fontId="34" fillId="0" borderId="19" xfId="0" applyFont="1" applyFill="1" applyBorder="1" applyAlignment="1">
      <alignment horizontal="center"/>
    </xf>
    <xf numFmtId="2" fontId="20" fillId="0" borderId="19" xfId="0" applyNumberFormat="1" applyFont="1" applyBorder="1" applyAlignment="1">
      <alignment horizontal="center"/>
    </xf>
    <xf numFmtId="179" fontId="38" fillId="0" borderId="0" xfId="0" applyNumberFormat="1" applyFont="1" applyFill="1" applyBorder="1" applyAlignment="1">
      <alignment horizontal="center"/>
    </xf>
    <xf numFmtId="179" fontId="20" fillId="0" borderId="0" xfId="0" applyNumberFormat="1" applyFont="1" applyFill="1" applyBorder="1" applyAlignment="1">
      <alignment horizontal="center"/>
    </xf>
    <xf numFmtId="173" fontId="21" fillId="0" borderId="0" xfId="0" applyNumberFormat="1" applyFont="1" applyBorder="1" applyAlignment="1">
      <alignment horizontal="center"/>
    </xf>
    <xf numFmtId="168" fontId="35" fillId="0" borderId="0" xfId="0" applyFont="1" applyBorder="1" applyAlignment="1">
      <alignment horizontal="right"/>
    </xf>
    <xf numFmtId="179" fontId="34" fillId="0" borderId="0" xfId="0" applyNumberFormat="1" applyFont="1" applyFill="1" applyAlignment="1">
      <alignment horizontal="center"/>
    </xf>
    <xf numFmtId="179" fontId="20" fillId="0" borderId="0" xfId="0" applyNumberFormat="1" applyFont="1" applyFill="1" applyAlignment="1">
      <alignment horizontal="center"/>
    </xf>
    <xf numFmtId="179" fontId="34" fillId="0" borderId="19" xfId="0" applyNumberFormat="1" applyFont="1" applyFill="1" applyBorder="1" applyAlignment="1">
      <alignment horizontal="center"/>
    </xf>
    <xf numFmtId="2" fontId="34" fillId="0" borderId="19" xfId="0" applyNumberFormat="1" applyFont="1" applyFill="1" applyBorder="1" applyAlignment="1">
      <alignment horizontal="center"/>
    </xf>
    <xf numFmtId="168" fontId="21" fillId="0" borderId="0" xfId="0" applyFont="1" applyAlignment="1">
      <alignment horizontal="right"/>
    </xf>
    <xf numFmtId="173" fontId="21" fillId="0" borderId="21" xfId="0" applyNumberFormat="1" applyFont="1" applyBorder="1" applyAlignment="1">
      <alignment horizontal="center"/>
    </xf>
    <xf numFmtId="173" fontId="21" fillId="0" borderId="22" xfId="0" applyNumberFormat="1" applyFont="1" applyBorder="1" applyAlignment="1">
      <alignment horizontal="center"/>
    </xf>
    <xf numFmtId="168" fontId="21" fillId="0" borderId="10" xfId="0" applyFont="1" applyBorder="1" applyAlignment="1">
      <alignment horizontal="left"/>
    </xf>
    <xf numFmtId="179" fontId="21" fillId="0" borderId="10" xfId="0" applyNumberFormat="1" applyFont="1" applyBorder="1" applyAlignment="1">
      <alignment horizontal="center"/>
    </xf>
    <xf numFmtId="168" fontId="20" fillId="0" borderId="20" xfId="0" applyFont="1" applyBorder="1" applyAlignment="1">
      <alignment/>
    </xf>
    <xf numFmtId="179" fontId="34" fillId="0" borderId="10" xfId="0" applyNumberFormat="1" applyFont="1" applyFill="1" applyBorder="1" applyAlignment="1">
      <alignment/>
    </xf>
    <xf numFmtId="179" fontId="20" fillId="0" borderId="10" xfId="44" applyNumberFormat="1" applyFont="1" applyFill="1" applyBorder="1" applyAlignment="1" applyProtection="1">
      <alignment horizontal="center"/>
      <protection/>
    </xf>
    <xf numFmtId="168" fontId="34" fillId="0" borderId="10" xfId="0" applyFont="1" applyBorder="1" applyAlignment="1">
      <alignment/>
    </xf>
    <xf numFmtId="168" fontId="34" fillId="0" borderId="20" xfId="0" applyFont="1" applyFill="1" applyBorder="1" applyAlignment="1">
      <alignment horizontal="center"/>
    </xf>
    <xf numFmtId="173" fontId="20" fillId="0" borderId="10" xfId="0" applyNumberFormat="1" applyFont="1" applyBorder="1" applyAlignment="1">
      <alignment horizontal="center"/>
    </xf>
    <xf numFmtId="168" fontId="34" fillId="0" borderId="10" xfId="0" applyFont="1" applyBorder="1" applyAlignment="1">
      <alignment horizontal="center"/>
    </xf>
    <xf numFmtId="2" fontId="20" fillId="0" borderId="20" xfId="0" applyNumberFormat="1" applyFont="1" applyBorder="1" applyAlignment="1">
      <alignment horizontal="center"/>
    </xf>
    <xf numFmtId="168" fontId="21" fillId="0" borderId="0" xfId="0" applyFont="1" applyBorder="1" applyAlignment="1">
      <alignment horizontal="left"/>
    </xf>
    <xf numFmtId="168" fontId="21" fillId="0" borderId="0" xfId="0" applyNumberFormat="1" applyFont="1" applyFill="1" applyBorder="1" applyAlignment="1">
      <alignment horizontal="center"/>
    </xf>
    <xf numFmtId="179" fontId="34" fillId="0" borderId="0" xfId="0" applyNumberFormat="1" applyFont="1" applyFill="1" applyBorder="1" applyAlignment="1">
      <alignment/>
    </xf>
    <xf numFmtId="179" fontId="20" fillId="0" borderId="0" xfId="44" applyNumberFormat="1" applyFont="1" applyFill="1" applyBorder="1" applyAlignment="1" applyProtection="1">
      <alignment horizontal="center"/>
      <protection/>
    </xf>
    <xf numFmtId="168" fontId="20" fillId="0" borderId="0" xfId="0" applyNumberFormat="1" applyFont="1" applyFill="1" applyBorder="1" applyAlignment="1">
      <alignment horizontal="center"/>
    </xf>
    <xf numFmtId="2" fontId="34" fillId="0" borderId="0" xfId="0" applyNumberFormat="1" applyFont="1" applyFill="1" applyAlignment="1">
      <alignment horizontal="center"/>
    </xf>
    <xf numFmtId="179" fontId="37" fillId="0" borderId="19" xfId="0" applyNumberFormat="1" applyFont="1" applyFill="1" applyBorder="1" applyAlignment="1">
      <alignment horizontal="center"/>
    </xf>
    <xf numFmtId="179" fontId="37" fillId="0" borderId="0" xfId="0" applyNumberFormat="1" applyFont="1" applyFill="1" applyAlignment="1">
      <alignment horizontal="center"/>
    </xf>
    <xf numFmtId="168" fontId="33" fillId="0" borderId="0" xfId="0" applyFont="1" applyFill="1" applyAlignment="1">
      <alignment/>
    </xf>
    <xf numFmtId="173" fontId="33" fillId="0" borderId="0" xfId="0" applyNumberFormat="1" applyFont="1" applyFill="1" applyAlignment="1">
      <alignment horizontal="center"/>
    </xf>
    <xf numFmtId="168" fontId="33" fillId="0" borderId="0" xfId="0" applyFont="1" applyFill="1" applyAlignment="1">
      <alignment horizontal="left"/>
    </xf>
    <xf numFmtId="173" fontId="45" fillId="0" borderId="10" xfId="0" applyNumberFormat="1" applyFont="1" applyFill="1" applyBorder="1" applyAlignment="1">
      <alignment horizontal="center"/>
    </xf>
    <xf numFmtId="168" fontId="21" fillId="0" borderId="20" xfId="0" applyFont="1" applyBorder="1" applyAlignment="1">
      <alignment/>
    </xf>
    <xf numFmtId="179" fontId="21" fillId="0" borderId="10" xfId="0" applyNumberFormat="1" applyFont="1" applyFill="1" applyBorder="1" applyAlignment="1">
      <alignment/>
    </xf>
    <xf numFmtId="179" fontId="21" fillId="0" borderId="10" xfId="44" applyNumberFormat="1" applyFont="1" applyFill="1" applyBorder="1" applyAlignment="1" applyProtection="1">
      <alignment horizontal="center"/>
      <protection/>
    </xf>
    <xf numFmtId="168" fontId="35" fillId="0" borderId="10" xfId="0" applyFont="1" applyBorder="1" applyAlignment="1">
      <alignment/>
    </xf>
    <xf numFmtId="168" fontId="21" fillId="0" borderId="10" xfId="0" applyFont="1" applyBorder="1" applyAlignment="1">
      <alignment/>
    </xf>
    <xf numFmtId="173" fontId="21" fillId="0" borderId="10" xfId="0" applyNumberFormat="1" applyFont="1" applyBorder="1" applyAlignment="1">
      <alignment horizontal="center"/>
    </xf>
    <xf numFmtId="2" fontId="21" fillId="0" borderId="20" xfId="0" applyNumberFormat="1" applyFont="1" applyBorder="1" applyAlignment="1">
      <alignment horizontal="center"/>
    </xf>
    <xf numFmtId="173" fontId="45" fillId="0" borderId="0" xfId="0" applyNumberFormat="1" applyFont="1" applyFill="1" applyAlignment="1">
      <alignment horizontal="center"/>
    </xf>
    <xf numFmtId="168" fontId="21" fillId="0" borderId="19" xfId="0" applyFont="1" applyBorder="1" applyAlignment="1">
      <alignment/>
    </xf>
    <xf numFmtId="179" fontId="21" fillId="0" borderId="0" xfId="0" applyNumberFormat="1" applyFont="1" applyFill="1" applyAlignment="1">
      <alignment/>
    </xf>
    <xf numFmtId="179" fontId="21" fillId="0" borderId="0" xfId="44" applyNumberFormat="1" applyFont="1" applyFill="1" applyBorder="1" applyAlignment="1" applyProtection="1">
      <alignment horizontal="center"/>
      <protection/>
    </xf>
    <xf numFmtId="168" fontId="35" fillId="0" borderId="0" xfId="0" applyFont="1" applyAlignment="1">
      <alignment/>
    </xf>
    <xf numFmtId="2" fontId="21" fillId="0" borderId="19" xfId="0" applyNumberFormat="1" applyFont="1" applyBorder="1" applyAlignment="1">
      <alignment horizontal="center"/>
    </xf>
    <xf numFmtId="168" fontId="21" fillId="0" borderId="0" xfId="0" applyFont="1" applyFill="1" applyAlignment="1">
      <alignment horizontal="center"/>
    </xf>
    <xf numFmtId="168" fontId="20" fillId="0" borderId="19" xfId="0" applyFont="1" applyFill="1" applyBorder="1" applyAlignment="1">
      <alignment/>
    </xf>
    <xf numFmtId="168" fontId="21" fillId="0" borderId="0" xfId="0" applyFont="1" applyFill="1" applyAlignment="1">
      <alignment horizontal="left"/>
    </xf>
    <xf numFmtId="168" fontId="21" fillId="0" borderId="23" xfId="0" applyFont="1" applyFill="1" applyBorder="1" applyAlignment="1">
      <alignment horizontal="left"/>
    </xf>
    <xf numFmtId="168" fontId="21" fillId="0" borderId="19" xfId="0" applyFont="1" applyFill="1" applyBorder="1" applyAlignment="1">
      <alignment horizontal="left"/>
    </xf>
    <xf numFmtId="179" fontId="46" fillId="0" borderId="0" xfId="0" applyNumberFormat="1" applyFont="1" applyFill="1" applyAlignment="1">
      <alignment horizontal="right"/>
    </xf>
    <xf numFmtId="179" fontId="21" fillId="0" borderId="0" xfId="0" applyNumberFormat="1" applyFont="1" applyFill="1" applyAlignment="1">
      <alignment horizontal="center"/>
    </xf>
    <xf numFmtId="2" fontId="21" fillId="0" borderId="0" xfId="0" applyNumberFormat="1" applyFont="1" applyFill="1" applyAlignment="1">
      <alignment/>
    </xf>
    <xf numFmtId="173" fontId="20" fillId="0" borderId="0" xfId="0" applyNumberFormat="1" applyFont="1" applyFill="1" applyBorder="1" applyAlignment="1">
      <alignment horizontal="center"/>
    </xf>
    <xf numFmtId="2" fontId="46" fillId="0" borderId="0" xfId="0" applyNumberFormat="1" applyFont="1" applyFill="1" applyBorder="1" applyAlignment="1">
      <alignment/>
    </xf>
    <xf numFmtId="179" fontId="21" fillId="0" borderId="0" xfId="0" applyNumberFormat="1" applyFont="1" applyFill="1" applyBorder="1" applyAlignment="1">
      <alignment horizontal="center"/>
    </xf>
    <xf numFmtId="2" fontId="47" fillId="0" borderId="0" xfId="0" applyNumberFormat="1" applyFont="1" applyFill="1" applyBorder="1" applyAlignment="1">
      <alignment horizontal="center"/>
    </xf>
    <xf numFmtId="2" fontId="34" fillId="0" borderId="0" xfId="0" applyNumberFormat="1" applyFont="1" applyFill="1" applyBorder="1" applyAlignment="1">
      <alignment horizontal="center"/>
    </xf>
    <xf numFmtId="168" fontId="37" fillId="0" borderId="0" xfId="0" applyFont="1" applyFill="1" applyAlignment="1">
      <alignment horizontal="center"/>
    </xf>
    <xf numFmtId="2" fontId="20" fillId="0" borderId="0" xfId="0" applyNumberFormat="1" applyFont="1" applyFill="1" applyAlignment="1">
      <alignment horizontal="center"/>
    </xf>
    <xf numFmtId="168" fontId="37" fillId="0" borderId="0" xfId="0" applyFont="1" applyFill="1" applyAlignment="1">
      <alignment/>
    </xf>
    <xf numFmtId="173" fontId="37" fillId="0" borderId="0" xfId="0" applyNumberFormat="1" applyFont="1" applyFill="1" applyAlignment="1">
      <alignment horizontal="center"/>
    </xf>
    <xf numFmtId="168" fontId="20" fillId="0" borderId="0" xfId="0" applyFont="1" applyFill="1" applyAlignment="1">
      <alignment horizontal="left" wrapText="1"/>
    </xf>
    <xf numFmtId="168" fontId="20" fillId="0" borderId="0" xfId="0" applyFont="1" applyFill="1" applyAlignment="1">
      <alignment horizontal="left"/>
    </xf>
    <xf numFmtId="168" fontId="48" fillId="0" borderId="0" xfId="0" applyFont="1" applyFill="1" applyAlignment="1">
      <alignment horizontal="left"/>
    </xf>
    <xf numFmtId="168" fontId="48" fillId="0" borderId="0" xfId="0" applyFont="1" applyFill="1" applyAlignment="1">
      <alignment horizontal="left" wrapText="1"/>
    </xf>
    <xf numFmtId="49" fontId="20" fillId="0" borderId="0" xfId="0" applyNumberFormat="1" applyFont="1" applyFill="1" applyBorder="1" applyAlignment="1">
      <alignment horizontal="center"/>
    </xf>
    <xf numFmtId="168" fontId="37" fillId="0" borderId="0" xfId="0" applyFont="1" applyFill="1" applyBorder="1" applyAlignment="1">
      <alignment horizontal="center"/>
    </xf>
    <xf numFmtId="168" fontId="48" fillId="0" borderId="0" xfId="0" applyFont="1" applyFill="1" applyBorder="1" applyAlignment="1">
      <alignment horizontal="left" wrapText="1"/>
    </xf>
    <xf numFmtId="49" fontId="20" fillId="0" borderId="23" xfId="0" applyNumberFormat="1" applyFont="1" applyFill="1" applyBorder="1" applyAlignment="1">
      <alignment horizontal="center"/>
    </xf>
    <xf numFmtId="179" fontId="34" fillId="0" borderId="0" xfId="0" applyNumberFormat="1" applyFont="1" applyFill="1" applyBorder="1" applyAlignment="1">
      <alignment horizontal="center"/>
    </xf>
    <xf numFmtId="173" fontId="20" fillId="0" borderId="23" xfId="0" applyNumberFormat="1" applyFont="1" applyFill="1" applyBorder="1" applyAlignment="1">
      <alignment horizontal="center"/>
    </xf>
    <xf numFmtId="168" fontId="37" fillId="0" borderId="10" xfId="0" applyFont="1" applyFill="1" applyBorder="1" applyAlignment="1">
      <alignment horizontal="center"/>
    </xf>
    <xf numFmtId="168" fontId="48" fillId="0" borderId="10" xfId="0" applyFont="1" applyFill="1" applyBorder="1" applyAlignment="1">
      <alignment horizontal="left" wrapText="1"/>
    </xf>
    <xf numFmtId="49" fontId="20" fillId="0" borderId="10" xfId="0" applyNumberFormat="1" applyFont="1" applyFill="1" applyBorder="1" applyAlignment="1">
      <alignment horizontal="center"/>
    </xf>
    <xf numFmtId="179" fontId="34" fillId="0" borderId="10" xfId="0" applyNumberFormat="1" applyFont="1" applyFill="1" applyBorder="1" applyAlignment="1">
      <alignment horizontal="center"/>
    </xf>
    <xf numFmtId="179" fontId="20" fillId="0" borderId="10" xfId="0" applyNumberFormat="1" applyFont="1" applyFill="1" applyBorder="1" applyAlignment="1">
      <alignment horizontal="center"/>
    </xf>
    <xf numFmtId="2" fontId="34" fillId="0" borderId="10" xfId="0" applyNumberFormat="1" applyFont="1" applyFill="1" applyBorder="1" applyAlignment="1">
      <alignment horizontal="center"/>
    </xf>
    <xf numFmtId="173" fontId="20" fillId="0" borderId="10" xfId="0" applyNumberFormat="1" applyFont="1" applyFill="1" applyBorder="1" applyAlignment="1">
      <alignment horizontal="center"/>
    </xf>
    <xf numFmtId="179" fontId="37" fillId="0" borderId="20" xfId="0" applyNumberFormat="1" applyFont="1" applyFill="1" applyBorder="1" applyAlignment="1">
      <alignment horizontal="center"/>
    </xf>
    <xf numFmtId="179" fontId="37" fillId="0" borderId="10" xfId="0" applyNumberFormat="1" applyFont="1" applyFill="1" applyBorder="1" applyAlignment="1">
      <alignment horizontal="center"/>
    </xf>
    <xf numFmtId="2" fontId="34" fillId="0" borderId="20" xfId="0" applyNumberFormat="1" applyFont="1" applyFill="1" applyBorder="1" applyAlignment="1">
      <alignment horizontal="center"/>
    </xf>
    <xf numFmtId="168" fontId="45" fillId="0" borderId="0" xfId="0" applyFont="1" applyFill="1" applyAlignment="1">
      <alignment horizontal="center"/>
    </xf>
    <xf numFmtId="168" fontId="21" fillId="0" borderId="0" xfId="0" applyFont="1" applyFill="1" applyAlignment="1">
      <alignment horizontal="left" wrapText="1"/>
    </xf>
    <xf numFmtId="168" fontId="48" fillId="0" borderId="0" xfId="0" applyFont="1" applyFill="1" applyBorder="1" applyAlignment="1">
      <alignment horizontal="left"/>
    </xf>
    <xf numFmtId="179" fontId="34" fillId="24" borderId="0" xfId="0" applyNumberFormat="1" applyFont="1" applyFill="1" applyAlignment="1">
      <alignment horizontal="center"/>
    </xf>
    <xf numFmtId="2" fontId="20" fillId="0" borderId="0" xfId="0" applyNumberFormat="1" applyFont="1" applyFill="1" applyBorder="1" applyAlignment="1">
      <alignment horizontal="center"/>
    </xf>
    <xf numFmtId="168" fontId="48" fillId="0" borderId="0" xfId="0" applyFont="1" applyFill="1" applyAlignment="1">
      <alignment horizontal="right"/>
    </xf>
    <xf numFmtId="179" fontId="34" fillId="0" borderId="0" xfId="0" applyNumberFormat="1" applyFont="1" applyFill="1" applyAlignment="1">
      <alignment horizontal="left"/>
    </xf>
    <xf numFmtId="168" fontId="20" fillId="0" borderId="10" xfId="0" applyFont="1" applyFill="1" applyBorder="1" applyAlignment="1">
      <alignment horizontal="center"/>
    </xf>
    <xf numFmtId="168" fontId="48" fillId="0" borderId="10" xfId="0" applyFont="1" applyFill="1" applyBorder="1" applyAlignment="1">
      <alignment horizontal="right"/>
    </xf>
    <xf numFmtId="179" fontId="20" fillId="0" borderId="10" xfId="0" applyNumberFormat="1" applyFont="1" applyFill="1" applyBorder="1" applyAlignment="1">
      <alignment horizontal="left"/>
    </xf>
    <xf numFmtId="179" fontId="20" fillId="0" borderId="20" xfId="0" applyNumberFormat="1" applyFont="1" applyFill="1" applyBorder="1" applyAlignment="1">
      <alignment horizontal="center"/>
    </xf>
    <xf numFmtId="179" fontId="44" fillId="0" borderId="10" xfId="0" applyNumberFormat="1" applyFont="1" applyFill="1" applyBorder="1" applyAlignment="1">
      <alignment/>
    </xf>
    <xf numFmtId="179" fontId="45" fillId="0" borderId="0" xfId="0" applyNumberFormat="1" applyFont="1" applyFill="1" applyAlignment="1">
      <alignment horizontal="center"/>
    </xf>
    <xf numFmtId="168" fontId="21" fillId="0" borderId="19" xfId="0" applyFont="1" applyBorder="1" applyAlignment="1">
      <alignment horizontal="left"/>
    </xf>
    <xf numFmtId="2" fontId="35" fillId="0" borderId="0" xfId="0" applyNumberFormat="1" applyFont="1" applyAlignment="1">
      <alignment horizontal="center"/>
    </xf>
    <xf numFmtId="173" fontId="35" fillId="0" borderId="19" xfId="0" applyNumberFormat="1" applyFont="1" applyFill="1" applyBorder="1" applyAlignment="1">
      <alignment horizontal="center"/>
    </xf>
    <xf numFmtId="179" fontId="45" fillId="0" borderId="0" xfId="0" applyNumberFormat="1" applyFont="1" applyAlignment="1">
      <alignment horizontal="center"/>
    </xf>
    <xf numFmtId="2" fontId="35" fillId="0" borderId="19" xfId="0" applyNumberFormat="1" applyFont="1" applyBorder="1" applyAlignment="1">
      <alignment horizontal="center"/>
    </xf>
    <xf numFmtId="179" fontId="21" fillId="0" borderId="0" xfId="0" applyNumberFormat="1" applyFont="1" applyBorder="1" applyAlignment="1">
      <alignment horizontal="center"/>
    </xf>
    <xf numFmtId="168" fontId="21" fillId="0" borderId="23" xfId="0" applyFont="1" applyBorder="1" applyAlignment="1">
      <alignment horizontal="left"/>
    </xf>
    <xf numFmtId="179" fontId="20" fillId="0" borderId="19" xfId="0" applyNumberFormat="1" applyFont="1" applyFill="1" applyBorder="1" applyAlignment="1">
      <alignment horizontal="center"/>
    </xf>
    <xf numFmtId="168" fontId="20" fillId="0" borderId="0" xfId="0" applyFont="1" applyFill="1" applyBorder="1" applyAlignment="1">
      <alignment horizontal="left" wrapText="1"/>
    </xf>
    <xf numFmtId="168" fontId="20" fillId="0" borderId="0" xfId="0" applyFont="1" applyFill="1" applyBorder="1" applyAlignment="1">
      <alignment horizontal="center" wrapText="1"/>
    </xf>
    <xf numFmtId="179" fontId="37" fillId="0" borderId="0" xfId="0" applyNumberFormat="1" applyFont="1" applyFill="1" applyBorder="1" applyAlignment="1">
      <alignment/>
    </xf>
    <xf numFmtId="168" fontId="37" fillId="0" borderId="0" xfId="0" applyFont="1" applyFill="1" applyBorder="1" applyAlignment="1">
      <alignment/>
    </xf>
    <xf numFmtId="168" fontId="34" fillId="0" borderId="19" xfId="0" applyFont="1" applyBorder="1" applyAlignment="1">
      <alignment horizontal="center"/>
    </xf>
    <xf numFmtId="2" fontId="34" fillId="0" borderId="0" xfId="0" applyNumberFormat="1" applyFont="1" applyAlignment="1">
      <alignment horizontal="center"/>
    </xf>
    <xf numFmtId="173" fontId="37" fillId="0" borderId="19" xfId="0" applyNumberFormat="1" applyFont="1" applyFill="1" applyBorder="1" applyAlignment="1">
      <alignment horizontal="center"/>
    </xf>
    <xf numFmtId="179" fontId="37" fillId="0" borderId="0" xfId="0" applyNumberFormat="1" applyFont="1" applyAlignment="1">
      <alignment horizontal="center"/>
    </xf>
    <xf numFmtId="2" fontId="34" fillId="0" borderId="19" xfId="0" applyNumberFormat="1" applyFont="1" applyBorder="1" applyAlignment="1">
      <alignment horizontal="center"/>
    </xf>
    <xf numFmtId="179" fontId="35" fillId="0" borderId="0" xfId="0" applyNumberFormat="1" applyFont="1" applyFill="1" applyAlignment="1">
      <alignment horizontal="center"/>
    </xf>
    <xf numFmtId="179" fontId="44" fillId="0" borderId="0" xfId="0" applyNumberFormat="1" applyFont="1" applyAlignment="1">
      <alignment/>
    </xf>
    <xf numFmtId="179" fontId="21" fillId="0" borderId="0" xfId="0" applyNumberFormat="1" applyFont="1" applyAlignment="1">
      <alignment horizontal="left"/>
    </xf>
    <xf numFmtId="168" fontId="37" fillId="0" borderId="0" xfId="0" applyFont="1" applyFill="1" applyBorder="1" applyAlignment="1">
      <alignment horizontal="left" wrapText="1"/>
    </xf>
    <xf numFmtId="49" fontId="28" fillId="0" borderId="0" xfId="0" applyNumberFormat="1" applyFont="1" applyFill="1" applyBorder="1" applyAlignment="1">
      <alignment horizontal="center" wrapText="1"/>
    </xf>
    <xf numFmtId="173" fontId="37" fillId="0" borderId="0" xfId="0" applyNumberFormat="1" applyFont="1" applyFill="1" applyBorder="1" applyAlignment="1">
      <alignment horizontal="center"/>
    </xf>
    <xf numFmtId="168" fontId="21" fillId="0" borderId="0" xfId="0" applyFont="1" applyFill="1" applyAlignment="1">
      <alignment/>
    </xf>
    <xf numFmtId="173" fontId="21" fillId="0" borderId="0" xfId="0" applyNumberFormat="1" applyFont="1" applyFill="1" applyAlignment="1">
      <alignment horizontal="center"/>
    </xf>
    <xf numFmtId="168" fontId="0" fillId="0" borderId="0" xfId="0" applyFont="1" applyFill="1" applyAlignment="1">
      <alignment horizontal="center" wrapText="1"/>
    </xf>
    <xf numFmtId="49" fontId="20" fillId="0" borderId="0" xfId="0" applyNumberFormat="1" applyFont="1" applyFill="1" applyBorder="1" applyAlignment="1">
      <alignment horizontal="center" wrapText="1"/>
    </xf>
    <xf numFmtId="168" fontId="20" fillId="0" borderId="10" xfId="0" applyFont="1" applyFill="1" applyBorder="1" applyAlignment="1">
      <alignment horizontal="left"/>
    </xf>
    <xf numFmtId="173" fontId="34" fillId="0" borderId="20" xfId="0" applyNumberFormat="1" applyFont="1" applyFill="1" applyBorder="1" applyAlignment="1">
      <alignment horizontal="center"/>
    </xf>
    <xf numFmtId="168" fontId="21" fillId="0" borderId="0" xfId="0" applyFont="1" applyFill="1" applyBorder="1" applyAlignment="1">
      <alignment horizontal="left"/>
    </xf>
    <xf numFmtId="168" fontId="21" fillId="0" borderId="0" xfId="0" applyFont="1" applyFill="1" applyBorder="1" applyAlignment="1">
      <alignment horizontal="center"/>
    </xf>
    <xf numFmtId="173" fontId="34" fillId="0" borderId="19" xfId="0" applyNumberFormat="1" applyFont="1" applyFill="1" applyBorder="1" applyAlignment="1">
      <alignment horizontal="center"/>
    </xf>
    <xf numFmtId="168" fontId="49" fillId="0" borderId="0" xfId="0" applyFont="1" applyAlignment="1">
      <alignment horizontal="center"/>
    </xf>
    <xf numFmtId="168" fontId="44" fillId="0" borderId="0" xfId="0" applyFont="1" applyFill="1" applyAlignment="1">
      <alignment horizontal="left"/>
    </xf>
    <xf numFmtId="179" fontId="49" fillId="0" borderId="0" xfId="0" applyNumberFormat="1" applyFont="1" applyAlignment="1">
      <alignment horizontal="center"/>
    </xf>
    <xf numFmtId="2" fontId="50" fillId="0" borderId="0" xfId="0" applyNumberFormat="1" applyFont="1" applyAlignment="1">
      <alignment horizontal="center"/>
    </xf>
    <xf numFmtId="173" fontId="49" fillId="0" borderId="0" xfId="0" applyNumberFormat="1" applyFont="1" applyAlignment="1">
      <alignment horizontal="center"/>
    </xf>
    <xf numFmtId="173" fontId="50" fillId="0" borderId="19" xfId="0" applyNumberFormat="1" applyFont="1" applyFill="1" applyBorder="1" applyAlignment="1">
      <alignment horizontal="center"/>
    </xf>
    <xf numFmtId="179" fontId="43" fillId="0" borderId="0" xfId="0" applyNumberFormat="1" applyFont="1" applyAlignment="1">
      <alignment horizontal="center"/>
    </xf>
    <xf numFmtId="2" fontId="50" fillId="0" borderId="19" xfId="0" applyNumberFormat="1" applyFont="1" applyBorder="1" applyAlignment="1">
      <alignment horizontal="center"/>
    </xf>
    <xf numFmtId="168" fontId="49" fillId="0" borderId="0" xfId="0" applyFont="1" applyAlignment="1">
      <alignment/>
    </xf>
    <xf numFmtId="168" fontId="49" fillId="0" borderId="0" xfId="0" applyFont="1" applyFill="1" applyAlignment="1">
      <alignment horizontal="center"/>
    </xf>
    <xf numFmtId="168" fontId="21" fillId="0" borderId="0" xfId="0" applyFont="1" applyFill="1" applyAlignment="1">
      <alignment horizontal="right"/>
    </xf>
    <xf numFmtId="179" fontId="35" fillId="0" borderId="0" xfId="0" applyNumberFormat="1" applyFont="1" applyFill="1" applyBorder="1" applyAlignment="1">
      <alignment horizontal="center"/>
    </xf>
    <xf numFmtId="179" fontId="20" fillId="0" borderId="0" xfId="0" applyNumberFormat="1" applyFont="1" applyFill="1" applyAlignment="1">
      <alignment horizontal="left"/>
    </xf>
    <xf numFmtId="2" fontId="50" fillId="0" borderId="0" xfId="0" applyNumberFormat="1" applyFont="1" applyFill="1" applyBorder="1" applyAlignment="1">
      <alignment horizontal="center"/>
    </xf>
    <xf numFmtId="179" fontId="49" fillId="0" borderId="0" xfId="0" applyNumberFormat="1" applyFont="1" applyFill="1" applyBorder="1" applyAlignment="1">
      <alignment horizontal="center"/>
    </xf>
    <xf numFmtId="173" fontId="49" fillId="0" borderId="0" xfId="0" applyNumberFormat="1" applyFont="1" applyFill="1" applyBorder="1" applyAlignment="1">
      <alignment horizontal="center"/>
    </xf>
    <xf numFmtId="179" fontId="43" fillId="0" borderId="0" xfId="0" applyNumberFormat="1" applyFont="1" applyFill="1" applyBorder="1" applyAlignment="1">
      <alignment horizontal="center"/>
    </xf>
    <xf numFmtId="2" fontId="50" fillId="0" borderId="19" xfId="0" applyNumberFormat="1" applyFont="1" applyFill="1" applyBorder="1" applyAlignment="1">
      <alignment horizontal="center"/>
    </xf>
    <xf numFmtId="179" fontId="49" fillId="0" borderId="0" xfId="0" applyNumberFormat="1" applyFont="1" applyFill="1" applyAlignment="1">
      <alignment horizontal="center"/>
    </xf>
    <xf numFmtId="179" fontId="49" fillId="0" borderId="0" xfId="0" applyNumberFormat="1" applyFont="1" applyFill="1" applyAlignment="1">
      <alignment/>
    </xf>
    <xf numFmtId="168" fontId="49" fillId="0" borderId="0" xfId="0" applyFont="1" applyFill="1" applyAlignment="1">
      <alignment/>
    </xf>
    <xf numFmtId="173" fontId="49" fillId="0" borderId="0" xfId="0" applyNumberFormat="1" applyFont="1" applyFill="1" applyAlignment="1">
      <alignment horizontal="center"/>
    </xf>
    <xf numFmtId="168" fontId="20" fillId="0" borderId="0" xfId="0" applyFont="1" applyFill="1" applyAlignment="1">
      <alignment wrapText="1"/>
    </xf>
    <xf numFmtId="49" fontId="0" fillId="0" borderId="0" xfId="0" applyNumberFormat="1" applyFont="1" applyFill="1" applyBorder="1" applyAlignment="1">
      <alignment horizontal="center" wrapText="1"/>
    </xf>
    <xf numFmtId="168" fontId="0" fillId="0" borderId="0" xfId="0" applyFont="1" applyFill="1" applyAlignment="1">
      <alignment horizontal="center" wrapText="1"/>
    </xf>
    <xf numFmtId="168" fontId="20" fillId="0" borderId="18" xfId="0" applyFont="1" applyBorder="1" applyAlignment="1">
      <alignment horizontal="center"/>
    </xf>
    <xf numFmtId="168" fontId="51" fillId="0" borderId="18" xfId="0" applyFont="1" applyBorder="1" applyAlignment="1">
      <alignment horizontal="left"/>
    </xf>
    <xf numFmtId="173" fontId="51" fillId="0" borderId="18" xfId="0" applyNumberFormat="1" applyFont="1" applyBorder="1" applyAlignment="1">
      <alignment horizontal="center"/>
    </xf>
    <xf numFmtId="173" fontId="51" fillId="0" borderId="24" xfId="0" applyNumberFormat="1" applyFont="1" applyBorder="1" applyAlignment="1">
      <alignment horizontal="center"/>
    </xf>
    <xf numFmtId="179" fontId="20" fillId="0" borderId="18" xfId="0" applyNumberFormat="1" applyFont="1" applyBorder="1" applyAlignment="1">
      <alignment/>
    </xf>
    <xf numFmtId="168" fontId="20" fillId="0" borderId="18" xfId="0" applyFont="1" applyBorder="1" applyAlignment="1">
      <alignment/>
    </xf>
    <xf numFmtId="168" fontId="20" fillId="0" borderId="24" xfId="0" applyFont="1" applyBorder="1" applyAlignment="1">
      <alignment/>
    </xf>
    <xf numFmtId="179" fontId="34" fillId="0" borderId="0" xfId="0" applyNumberFormat="1" applyFont="1" applyAlignment="1">
      <alignment horizontal="center"/>
    </xf>
    <xf numFmtId="168" fontId="20" fillId="0" borderId="19" xfId="0" applyFont="1" applyFill="1" applyBorder="1" applyAlignment="1">
      <alignment horizontal="left"/>
    </xf>
    <xf numFmtId="168" fontId="20" fillId="0" borderId="23" xfId="0" applyFont="1" applyFill="1" applyBorder="1" applyAlignment="1">
      <alignment/>
    </xf>
    <xf numFmtId="173" fontId="21" fillId="0" borderId="0" xfId="0" applyNumberFormat="1" applyFont="1" applyAlignment="1">
      <alignment horizontal="right"/>
    </xf>
    <xf numFmtId="168" fontId="34" fillId="0" borderId="0" xfId="0" applyFont="1" applyFill="1" applyAlignment="1">
      <alignment horizontal="center"/>
    </xf>
    <xf numFmtId="2" fontId="35" fillId="0" borderId="0" xfId="0" applyNumberFormat="1" applyFont="1" applyAlignment="1">
      <alignment horizontal="left"/>
    </xf>
    <xf numFmtId="168" fontId="52" fillId="0" borderId="0" xfId="0" applyFont="1" applyAlignment="1">
      <alignment horizontal="left"/>
    </xf>
    <xf numFmtId="168" fontId="52" fillId="0" borderId="0" xfId="0" applyFont="1" applyAlignment="1">
      <alignment horizontal="center"/>
    </xf>
    <xf numFmtId="2" fontId="20" fillId="0" borderId="0" xfId="0" applyNumberFormat="1" applyFont="1" applyAlignment="1">
      <alignment/>
    </xf>
    <xf numFmtId="179" fontId="35" fillId="0" borderId="0" xfId="0" applyNumberFormat="1" applyFont="1" applyAlignment="1">
      <alignment horizontal="center"/>
    </xf>
    <xf numFmtId="173" fontId="45" fillId="0" borderId="0" xfId="0" applyNumberFormat="1" applyFont="1" applyAlignment="1">
      <alignment horizontal="center"/>
    </xf>
    <xf numFmtId="168" fontId="21" fillId="0" borderId="0" xfId="0" applyFont="1" applyAlignment="1">
      <alignment/>
    </xf>
    <xf numFmtId="49" fontId="20" fillId="0" borderId="0" xfId="0" applyNumberFormat="1" applyFont="1" applyBorder="1" applyAlignment="1">
      <alignment horizontal="center"/>
    </xf>
    <xf numFmtId="168" fontId="37" fillId="0" borderId="0" xfId="0" applyFont="1" applyAlignment="1">
      <alignment horizontal="left"/>
    </xf>
    <xf numFmtId="168" fontId="20" fillId="0" borderId="0" xfId="0" applyFont="1" applyAlignment="1">
      <alignment horizontal="left" wrapText="1"/>
    </xf>
    <xf numFmtId="168" fontId="20" fillId="0" borderId="23" xfId="0" applyFont="1" applyBorder="1" applyAlignment="1">
      <alignment horizontal="center"/>
    </xf>
    <xf numFmtId="173" fontId="20" fillId="0" borderId="23" xfId="0" applyNumberFormat="1" applyFont="1" applyBorder="1" applyAlignment="1">
      <alignment horizontal="center"/>
    </xf>
    <xf numFmtId="179" fontId="20" fillId="8" borderId="0" xfId="0" applyNumberFormat="1" applyFont="1" applyFill="1" applyAlignment="1">
      <alignment horizontal="center"/>
    </xf>
    <xf numFmtId="179" fontId="37" fillId="8" borderId="19" xfId="0" applyNumberFormat="1" applyFont="1" applyFill="1" applyBorder="1" applyAlignment="1">
      <alignment horizontal="center"/>
    </xf>
    <xf numFmtId="2" fontId="20" fillId="0" borderId="0" xfId="0" applyNumberFormat="1" applyFont="1" applyAlignment="1">
      <alignment horizontal="center"/>
    </xf>
    <xf numFmtId="49" fontId="34" fillId="0" borderId="0" xfId="0" applyNumberFormat="1" applyFont="1" applyFill="1" applyAlignment="1">
      <alignment horizontal="center"/>
    </xf>
    <xf numFmtId="49" fontId="0" fillId="0" borderId="0" xfId="0" applyNumberFormat="1" applyFont="1" applyBorder="1" applyAlignment="1">
      <alignment horizontal="center" wrapText="1"/>
    </xf>
    <xf numFmtId="168" fontId="48" fillId="0" borderId="0" xfId="0" applyFont="1" applyAlignment="1">
      <alignment/>
    </xf>
    <xf numFmtId="168" fontId="21" fillId="0" borderId="0" xfId="0" applyNumberFormat="1" applyFont="1" applyFill="1" applyAlignment="1">
      <alignment horizontal="center"/>
    </xf>
    <xf numFmtId="49" fontId="20" fillId="0" borderId="0" xfId="0" applyNumberFormat="1" applyFont="1" applyBorder="1" applyAlignment="1">
      <alignment horizontal="center" wrapText="1"/>
    </xf>
    <xf numFmtId="168" fontId="20" fillId="0" borderId="18" xfId="0" applyFont="1" applyBorder="1" applyAlignment="1">
      <alignment horizontal="left"/>
    </xf>
    <xf numFmtId="168" fontId="34" fillId="0" borderId="24" xfId="0" applyFont="1" applyBorder="1" applyAlignment="1">
      <alignment horizontal="center"/>
    </xf>
    <xf numFmtId="179" fontId="34" fillId="0" borderId="18" xfId="0" applyNumberFormat="1" applyFont="1" applyFill="1" applyBorder="1" applyAlignment="1">
      <alignment horizontal="center"/>
    </xf>
    <xf numFmtId="179" fontId="20" fillId="0" borderId="18" xfId="0" applyNumberFormat="1" applyFont="1" applyBorder="1" applyAlignment="1">
      <alignment horizontal="center"/>
    </xf>
    <xf numFmtId="2" fontId="34" fillId="0" borderId="18" xfId="0" applyNumberFormat="1" applyFont="1" applyBorder="1" applyAlignment="1">
      <alignment horizontal="center"/>
    </xf>
    <xf numFmtId="173" fontId="20" fillId="0" borderId="18" xfId="0" applyNumberFormat="1" applyFont="1" applyBorder="1" applyAlignment="1">
      <alignment horizontal="center"/>
    </xf>
    <xf numFmtId="173" fontId="34" fillId="0" borderId="24" xfId="0" applyNumberFormat="1" applyFont="1" applyFill="1" applyBorder="1" applyAlignment="1">
      <alignment horizontal="center"/>
    </xf>
    <xf numFmtId="179" fontId="37" fillId="0" borderId="18" xfId="0" applyNumberFormat="1" applyFont="1" applyBorder="1" applyAlignment="1">
      <alignment horizontal="center"/>
    </xf>
    <xf numFmtId="2" fontId="34" fillId="0" borderId="24" xfId="0" applyNumberFormat="1" applyFont="1" applyBorder="1" applyAlignment="1">
      <alignment horizontal="center"/>
    </xf>
    <xf numFmtId="173" fontId="45" fillId="0" borderId="25" xfId="0" applyNumberFormat="1" applyFont="1" applyFill="1" applyBorder="1" applyAlignment="1">
      <alignment horizontal="center"/>
    </xf>
    <xf numFmtId="173" fontId="21" fillId="0" borderId="25" xfId="0" applyNumberFormat="1" applyFont="1" applyBorder="1" applyAlignment="1">
      <alignment horizontal="center"/>
    </xf>
    <xf numFmtId="179" fontId="20" fillId="0" borderId="0" xfId="0" applyNumberFormat="1" applyFont="1" applyFill="1" applyAlignment="1">
      <alignment horizontal="center" vertical="center"/>
    </xf>
    <xf numFmtId="179" fontId="20" fillId="0" borderId="23" xfId="0" applyNumberFormat="1" applyFont="1" applyFill="1" applyBorder="1" applyAlignment="1">
      <alignment horizontal="center" vertical="center"/>
    </xf>
    <xf numFmtId="179" fontId="20" fillId="0" borderId="0" xfId="0" applyNumberFormat="1" applyFont="1" applyFill="1" applyBorder="1" applyAlignment="1">
      <alignment horizontal="center" vertical="center"/>
    </xf>
    <xf numFmtId="173" fontId="20" fillId="0" borderId="0" xfId="0" applyNumberFormat="1" applyFont="1" applyFill="1" applyAlignment="1">
      <alignment horizontal="left"/>
    </xf>
    <xf numFmtId="179" fontId="35" fillId="0" borderId="0" xfId="0" applyNumberFormat="1" applyFont="1" applyFill="1" applyBorder="1" applyAlignment="1">
      <alignment horizontal="center" vertical="center"/>
    </xf>
    <xf numFmtId="179" fontId="21" fillId="0" borderId="23" xfId="0" applyNumberFormat="1" applyFont="1" applyFill="1" applyBorder="1" applyAlignment="1">
      <alignment horizontal="center" vertical="center"/>
    </xf>
    <xf numFmtId="179" fontId="45" fillId="0" borderId="0" xfId="0" applyNumberFormat="1" applyFont="1" applyFill="1" applyBorder="1" applyAlignment="1">
      <alignment horizontal="center" vertical="center"/>
    </xf>
    <xf numFmtId="179" fontId="21" fillId="0" borderId="0" xfId="0" applyNumberFormat="1" applyFont="1" applyFill="1" applyBorder="1" applyAlignment="1">
      <alignment horizontal="center" vertical="center"/>
    </xf>
    <xf numFmtId="179" fontId="21" fillId="0" borderId="0" xfId="0" applyNumberFormat="1" applyFont="1" applyFill="1" applyAlignment="1">
      <alignment horizontal="center" vertical="center"/>
    </xf>
    <xf numFmtId="179" fontId="34" fillId="0" borderId="0" xfId="0" applyNumberFormat="1" applyFont="1" applyFill="1" applyAlignment="1">
      <alignment horizontal="center" vertical="center"/>
    </xf>
    <xf numFmtId="49" fontId="20" fillId="0" borderId="18" xfId="0" applyNumberFormat="1" applyFont="1" applyBorder="1" applyAlignment="1">
      <alignment horizontal="center"/>
    </xf>
    <xf numFmtId="173" fontId="20" fillId="0" borderId="26" xfId="0" applyNumberFormat="1" applyFont="1" applyBorder="1" applyAlignment="1">
      <alignment horizontal="center"/>
    </xf>
    <xf numFmtId="49" fontId="21" fillId="0" borderId="0" xfId="0" applyNumberFormat="1" applyFont="1" applyBorder="1" applyAlignment="1">
      <alignment horizontal="center"/>
    </xf>
    <xf numFmtId="168" fontId="34" fillId="0" borderId="19" xfId="0" applyFont="1" applyBorder="1" applyAlignment="1">
      <alignment horizontal="left"/>
    </xf>
    <xf numFmtId="2" fontId="34" fillId="0" borderId="0" xfId="0" applyNumberFormat="1" applyFont="1" applyBorder="1" applyAlignment="1">
      <alignment horizontal="center"/>
    </xf>
    <xf numFmtId="179" fontId="34" fillId="0" borderId="0" xfId="0" applyNumberFormat="1" applyFont="1" applyBorder="1" applyAlignment="1">
      <alignment horizontal="center"/>
    </xf>
    <xf numFmtId="173" fontId="21" fillId="0" borderId="0" xfId="0" applyNumberFormat="1" applyFont="1" applyAlignment="1">
      <alignment horizontal="left"/>
    </xf>
    <xf numFmtId="49" fontId="21" fillId="0" borderId="0" xfId="0" applyNumberFormat="1" applyFont="1" applyFill="1" applyBorder="1" applyAlignment="1">
      <alignment horizontal="center"/>
    </xf>
    <xf numFmtId="2" fontId="35" fillId="0" borderId="0" xfId="0" applyNumberFormat="1" applyFont="1" applyBorder="1" applyAlignment="1">
      <alignment horizontal="center"/>
    </xf>
    <xf numFmtId="179" fontId="35" fillId="0" borderId="0" xfId="0" applyNumberFormat="1" applyFont="1" applyBorder="1" applyAlignment="1">
      <alignment horizontal="center"/>
    </xf>
    <xf numFmtId="168" fontId="20" fillId="0" borderId="23" xfId="0" applyFont="1" applyBorder="1" applyAlignment="1">
      <alignment/>
    </xf>
    <xf numFmtId="168" fontId="20" fillId="0" borderId="0" xfId="0" applyNumberFormat="1" applyFont="1" applyBorder="1" applyAlignment="1">
      <alignment horizontal="center"/>
    </xf>
    <xf numFmtId="2" fontId="34" fillId="0" borderId="24" xfId="0" applyNumberFormat="1" applyFont="1" applyFill="1" applyBorder="1" applyAlignment="1">
      <alignment horizontal="center"/>
    </xf>
    <xf numFmtId="173" fontId="21" fillId="0" borderId="0" xfId="0" applyNumberFormat="1" applyFont="1" applyFill="1" applyBorder="1" applyAlignment="1">
      <alignment horizontal="center"/>
    </xf>
    <xf numFmtId="2" fontId="35" fillId="0" borderId="0" xfId="0" applyNumberFormat="1" applyFont="1" applyFill="1" applyBorder="1" applyAlignment="1">
      <alignment horizontal="center"/>
    </xf>
    <xf numFmtId="168" fontId="41" fillId="0" borderId="0" xfId="0" applyFont="1" applyFill="1" applyAlignment="1">
      <alignment/>
    </xf>
    <xf numFmtId="173" fontId="41" fillId="0" borderId="0" xfId="0" applyNumberFormat="1" applyFont="1" applyFill="1" applyAlignment="1">
      <alignment horizontal="center"/>
    </xf>
    <xf numFmtId="168" fontId="0" fillId="0" borderId="10" xfId="0" applyBorder="1" applyAlignment="1">
      <alignment/>
    </xf>
    <xf numFmtId="168" fontId="23" fillId="0" borderId="10" xfId="0" applyFont="1" applyBorder="1" applyAlignment="1">
      <alignment horizontal="center"/>
    </xf>
    <xf numFmtId="179" fontId="0" fillId="0" borderId="0" xfId="0" applyNumberFormat="1" applyBorder="1" applyAlignment="1">
      <alignment horizontal="center"/>
    </xf>
    <xf numFmtId="179" fontId="23" fillId="0" borderId="0" xfId="0" applyNumberFormat="1" applyFont="1" applyBorder="1" applyAlignment="1">
      <alignment horizontal="center"/>
    </xf>
    <xf numFmtId="172" fontId="34" fillId="0" borderId="0" xfId="0" applyNumberFormat="1" applyFont="1" applyFill="1" applyAlignment="1">
      <alignment horizontal="left"/>
    </xf>
    <xf numFmtId="168" fontId="18" fillId="0" borderId="0" xfId="0" applyFont="1" applyAlignment="1">
      <alignment horizontal="left"/>
    </xf>
    <xf numFmtId="168" fontId="27" fillId="0" borderId="0" xfId="0" applyFont="1" applyAlignment="1">
      <alignment/>
    </xf>
    <xf numFmtId="168" fontId="0" fillId="0" borderId="0" xfId="0" applyFont="1" applyAlignment="1">
      <alignment/>
    </xf>
    <xf numFmtId="168" fontId="53" fillId="0" borderId="0" xfId="0" applyFont="1" applyAlignment="1">
      <alignment horizontal="center"/>
    </xf>
    <xf numFmtId="187" fontId="0" fillId="0" borderId="0" xfId="0" applyNumberFormat="1" applyFont="1" applyFill="1" applyAlignment="1">
      <alignment/>
    </xf>
    <xf numFmtId="172" fontId="53" fillId="0" borderId="0" xfId="0" applyNumberFormat="1" applyFont="1" applyFill="1" applyAlignment="1">
      <alignment horizontal="center"/>
    </xf>
    <xf numFmtId="172" fontId="53" fillId="0" borderId="0" xfId="0" applyNumberFormat="1" applyFont="1" applyAlignment="1">
      <alignment horizontal="center"/>
    </xf>
    <xf numFmtId="183" fontId="0" fillId="0" borderId="0" xfId="0" applyNumberFormat="1" applyFont="1" applyFill="1" applyAlignment="1">
      <alignment/>
    </xf>
    <xf numFmtId="168" fontId="23" fillId="0" borderId="0" xfId="0" applyFont="1" applyFill="1" applyAlignment="1">
      <alignment horizontal="center"/>
    </xf>
    <xf numFmtId="168" fontId="0" fillId="0" borderId="0" xfId="0" applyFont="1" applyFill="1" applyAlignment="1">
      <alignment/>
    </xf>
    <xf numFmtId="168" fontId="27" fillId="0" borderId="0" xfId="0" applyFont="1" applyBorder="1" applyAlignment="1">
      <alignment/>
    </xf>
    <xf numFmtId="173" fontId="0" fillId="0" borderId="0" xfId="0" applyNumberFormat="1" applyFont="1" applyFill="1" applyAlignment="1">
      <alignment/>
    </xf>
    <xf numFmtId="168" fontId="0" fillId="0" borderId="0" xfId="0" applyFont="1" applyAlignment="1">
      <alignment/>
    </xf>
    <xf numFmtId="173" fontId="0" fillId="0" borderId="0" xfId="0" applyNumberFormat="1" applyFont="1" applyFill="1" applyAlignment="1">
      <alignment horizontal="right"/>
    </xf>
    <xf numFmtId="49" fontId="27" fillId="0" borderId="0" xfId="0" applyNumberFormat="1" applyFont="1" applyAlignment="1">
      <alignment/>
    </xf>
    <xf numFmtId="172" fontId="53" fillId="0" borderId="0" xfId="0" applyNumberFormat="1" applyFont="1" applyAlignment="1">
      <alignment/>
    </xf>
    <xf numFmtId="168" fontId="0" fillId="0" borderId="14" xfId="0" applyFont="1" applyBorder="1" applyAlignment="1">
      <alignment horizontal="center"/>
    </xf>
    <xf numFmtId="168" fontId="0" fillId="0" borderId="14" xfId="0" applyBorder="1" applyAlignment="1">
      <alignment/>
    </xf>
    <xf numFmtId="178" fontId="23" fillId="0" borderId="14" xfId="0" applyNumberFormat="1" applyFont="1" applyBorder="1" applyAlignment="1">
      <alignment/>
    </xf>
    <xf numFmtId="168" fontId="0" fillId="0" borderId="14" xfId="0" applyFont="1" applyBorder="1" applyAlignment="1">
      <alignment/>
    </xf>
    <xf numFmtId="178" fontId="0" fillId="0" borderId="14" xfId="0" applyNumberFormat="1" applyFill="1" applyBorder="1" applyAlignment="1">
      <alignment/>
    </xf>
    <xf numFmtId="173" fontId="0" fillId="0" borderId="14" xfId="0" applyNumberFormat="1" applyFill="1" applyBorder="1" applyAlignment="1">
      <alignment/>
    </xf>
    <xf numFmtId="168" fontId="27" fillId="0" borderId="27" xfId="0" applyFont="1" applyFill="1" applyBorder="1" applyAlignment="1">
      <alignment/>
    </xf>
    <xf numFmtId="168" fontId="0" fillId="0" borderId="28" xfId="0" applyFont="1" applyFill="1" applyBorder="1" applyAlignment="1">
      <alignment/>
    </xf>
    <xf numFmtId="168" fontId="27" fillId="0" borderId="29" xfId="0" applyFont="1" applyFill="1" applyBorder="1" applyAlignment="1">
      <alignment/>
    </xf>
    <xf numFmtId="168" fontId="27" fillId="0" borderId="0" xfId="0" applyFont="1" applyFill="1" applyAlignment="1">
      <alignment/>
    </xf>
    <xf numFmtId="168" fontId="0" fillId="0" borderId="30" xfId="0" applyFont="1" applyFill="1" applyBorder="1" applyAlignment="1">
      <alignment/>
    </xf>
    <xf numFmtId="168" fontId="27" fillId="0" borderId="31" xfId="0" applyFont="1" applyFill="1" applyBorder="1" applyAlignment="1">
      <alignment/>
    </xf>
    <xf numFmtId="168" fontId="27" fillId="0" borderId="32" xfId="0" applyFont="1" applyFill="1" applyBorder="1" applyAlignment="1">
      <alignment/>
    </xf>
    <xf numFmtId="168" fontId="0" fillId="0" borderId="33" xfId="0" applyFont="1" applyFill="1" applyBorder="1" applyAlignment="1">
      <alignment/>
    </xf>
    <xf numFmtId="168" fontId="0" fillId="0" borderId="34" xfId="0" applyFont="1" applyFill="1" applyBorder="1" applyAlignment="1">
      <alignment/>
    </xf>
    <xf numFmtId="177" fontId="0" fillId="0" borderId="0" xfId="0" applyNumberFormat="1" applyFont="1" applyFill="1" applyAlignment="1">
      <alignment/>
    </xf>
    <xf numFmtId="177" fontId="0" fillId="0" borderId="30" xfId="0" applyNumberFormat="1" applyFont="1" applyFill="1" applyBorder="1" applyAlignment="1">
      <alignment/>
    </xf>
    <xf numFmtId="168" fontId="0" fillId="0" borderId="29" xfId="0" applyFont="1" applyFill="1" applyBorder="1" applyAlignment="1">
      <alignment/>
    </xf>
    <xf numFmtId="177" fontId="0" fillId="0" borderId="10" xfId="0" applyNumberFormat="1" applyFont="1" applyFill="1" applyBorder="1" applyAlignment="1">
      <alignment/>
    </xf>
    <xf numFmtId="177" fontId="0" fillId="0" borderId="35" xfId="0" applyNumberFormat="1" applyFont="1" applyFill="1" applyBorder="1" applyAlignment="1">
      <alignment/>
    </xf>
    <xf numFmtId="168" fontId="0" fillId="0" borderId="0" xfId="0" applyFont="1" applyFill="1" applyBorder="1" applyAlignment="1">
      <alignment/>
    </xf>
    <xf numFmtId="177" fontId="0" fillId="0" borderId="0" xfId="0" applyNumberFormat="1" applyFont="1" applyFill="1" applyBorder="1" applyAlignment="1">
      <alignment/>
    </xf>
    <xf numFmtId="2" fontId="0" fillId="0" borderId="14" xfId="0" applyNumberFormat="1" applyFont="1" applyBorder="1" applyAlignment="1">
      <alignment/>
    </xf>
    <xf numFmtId="173" fontId="0" fillId="0" borderId="14" xfId="0" applyNumberFormat="1" applyFont="1" applyBorder="1" applyAlignment="1">
      <alignment/>
    </xf>
    <xf numFmtId="10" fontId="0" fillId="0" borderId="14" xfId="0" applyNumberFormat="1" applyFont="1" applyBorder="1" applyAlignment="1">
      <alignment/>
    </xf>
    <xf numFmtId="168" fontId="23" fillId="20" borderId="33" xfId="0" applyFont="1" applyFill="1" applyBorder="1" applyAlignment="1">
      <alignment/>
    </xf>
    <xf numFmtId="168" fontId="0" fillId="0" borderId="36" xfId="0" applyFont="1" applyFill="1" applyBorder="1" applyAlignment="1">
      <alignment/>
    </xf>
    <xf numFmtId="168" fontId="27" fillId="0" borderId="10" xfId="0" applyFont="1" applyFill="1" applyBorder="1" applyAlignment="1">
      <alignment/>
    </xf>
    <xf numFmtId="168" fontId="0" fillId="0" borderId="10" xfId="0" applyFont="1" applyFill="1" applyBorder="1" applyAlignment="1">
      <alignment/>
    </xf>
    <xf numFmtId="168" fontId="0" fillId="0" borderId="35" xfId="0" applyFont="1" applyFill="1" applyBorder="1" applyAlignment="1">
      <alignment/>
    </xf>
    <xf numFmtId="168" fontId="27" fillId="0" borderId="33" xfId="0" applyFont="1" applyFill="1" applyBorder="1" applyAlignment="1">
      <alignment/>
    </xf>
    <xf numFmtId="168" fontId="27" fillId="0" borderId="34" xfId="0" applyFont="1" applyFill="1" applyBorder="1" applyAlignment="1">
      <alignment/>
    </xf>
    <xf numFmtId="177" fontId="27" fillId="0" borderId="30" xfId="0" applyNumberFormat="1" applyFont="1" applyFill="1" applyBorder="1" applyAlignment="1">
      <alignment/>
    </xf>
    <xf numFmtId="168" fontId="27" fillId="0" borderId="0" xfId="0" applyFont="1" applyFill="1" applyBorder="1" applyAlignment="1">
      <alignment/>
    </xf>
    <xf numFmtId="177" fontId="27" fillId="0" borderId="28" xfId="0" applyNumberFormat="1" applyFont="1" applyFill="1" applyBorder="1" applyAlignment="1">
      <alignment/>
    </xf>
    <xf numFmtId="2" fontId="27" fillId="0" borderId="35" xfId="0" applyNumberFormat="1" applyFont="1" applyFill="1" applyBorder="1" applyAlignment="1">
      <alignment/>
    </xf>
    <xf numFmtId="168" fontId="27" fillId="0" borderId="0" xfId="0" applyFont="1" applyAlignment="1">
      <alignment horizontal="right"/>
    </xf>
    <xf numFmtId="168" fontId="27" fillId="0" borderId="0" xfId="0" applyFont="1" applyAlignment="1">
      <alignment horizontal="center"/>
    </xf>
    <xf numFmtId="171" fontId="0" fillId="0" borderId="0" xfId="0" applyNumberFormat="1" applyAlignment="1">
      <alignment horizontal="center"/>
    </xf>
    <xf numFmtId="168" fontId="23" fillId="0" borderId="0" xfId="0" applyFont="1" applyAlignment="1">
      <alignment/>
    </xf>
    <xf numFmtId="20" fontId="23" fillId="0" borderId="0" xfId="0" applyNumberFormat="1" applyFont="1" applyAlignment="1">
      <alignment horizontal="center"/>
    </xf>
    <xf numFmtId="171" fontId="23" fillId="0" borderId="14" xfId="0" applyNumberFormat="1" applyFont="1" applyBorder="1" applyAlignment="1">
      <alignment horizontal="center"/>
    </xf>
    <xf numFmtId="179" fontId="0" fillId="0" borderId="0" xfId="0" applyNumberFormat="1" applyAlignment="1">
      <alignment/>
    </xf>
    <xf numFmtId="168" fontId="25" fillId="0" borderId="0" xfId="0" applyFont="1" applyAlignment="1">
      <alignment horizontal="center"/>
    </xf>
    <xf numFmtId="168" fontId="0" fillId="0" borderId="18" xfId="0" applyFont="1" applyBorder="1" applyAlignment="1">
      <alignment horizontal="center"/>
    </xf>
    <xf numFmtId="168" fontId="0" fillId="0" borderId="18" xfId="0" applyBorder="1" applyAlignment="1">
      <alignment/>
    </xf>
    <xf numFmtId="168" fontId="0" fillId="0" borderId="18" xfId="0" applyFont="1" applyFill="1" applyBorder="1" applyAlignment="1">
      <alignment horizontal="center"/>
    </xf>
    <xf numFmtId="168" fontId="0" fillId="0" borderId="19" xfId="0" applyFont="1" applyFill="1" applyBorder="1" applyAlignment="1">
      <alignment horizontal="center"/>
    </xf>
    <xf numFmtId="179" fontId="0" fillId="0" borderId="16" xfId="0" applyNumberFormat="1" applyBorder="1" applyAlignment="1">
      <alignment horizontal="center"/>
    </xf>
    <xf numFmtId="179" fontId="0" fillId="0" borderId="14" xfId="0" applyNumberFormat="1" applyFill="1" applyBorder="1" applyAlignment="1">
      <alignment horizontal="center"/>
    </xf>
    <xf numFmtId="179" fontId="0" fillId="0" borderId="14" xfId="0" applyNumberFormat="1" applyBorder="1" applyAlignment="1">
      <alignment horizontal="center"/>
    </xf>
    <xf numFmtId="179" fontId="0" fillId="0" borderId="14" xfId="0" applyNumberFormat="1" applyBorder="1" applyAlignment="1">
      <alignment/>
    </xf>
    <xf numFmtId="179" fontId="0" fillId="0" borderId="37" xfId="0" applyNumberFormat="1" applyFill="1" applyBorder="1" applyAlignment="1">
      <alignment horizontal="center"/>
    </xf>
    <xf numFmtId="179" fontId="0" fillId="0" borderId="37" xfId="0" applyNumberFormat="1" applyBorder="1" applyAlignment="1">
      <alignment horizontal="center"/>
    </xf>
    <xf numFmtId="179" fontId="0" fillId="0" borderId="0" xfId="0" applyNumberFormat="1" applyBorder="1" applyAlignment="1">
      <alignment/>
    </xf>
    <xf numFmtId="168" fontId="54" fillId="0" borderId="0" xfId="0" applyFont="1" applyAlignment="1">
      <alignment horizontal="right"/>
    </xf>
    <xf numFmtId="168" fontId="27" fillId="0" borderId="18" xfId="0" applyFont="1" applyBorder="1" applyAlignment="1">
      <alignment horizontal="center"/>
    </xf>
    <xf numFmtId="168" fontId="54" fillId="0" borderId="0" xfId="0" applyFont="1" applyAlignment="1">
      <alignment horizontal="center" wrapText="1"/>
    </xf>
    <xf numFmtId="179" fontId="0" fillId="0" borderId="18" xfId="0" applyNumberFormat="1" applyBorder="1" applyAlignment="1">
      <alignment horizontal="center"/>
    </xf>
    <xf numFmtId="179" fontId="54" fillId="0" borderId="18" xfId="0" applyNumberFormat="1" applyFont="1" applyBorder="1" applyAlignment="1">
      <alignment horizontal="center"/>
    </xf>
    <xf numFmtId="179" fontId="54" fillId="0" borderId="0" xfId="0" applyNumberFormat="1" applyFont="1" applyBorder="1" applyAlignment="1">
      <alignment horizontal="center"/>
    </xf>
    <xf numFmtId="168" fontId="54" fillId="0" borderId="0" xfId="0" applyFont="1" applyBorder="1" applyAlignment="1">
      <alignment/>
    </xf>
    <xf numFmtId="179" fontId="0" fillId="0" borderId="18" xfId="0" applyNumberFormat="1" applyBorder="1" applyAlignment="1">
      <alignment/>
    </xf>
    <xf numFmtId="179" fontId="0" fillId="0" borderId="14" xfId="0" applyNumberFormat="1" applyFont="1" applyBorder="1" applyAlignment="1">
      <alignment horizontal="center"/>
    </xf>
    <xf numFmtId="179" fontId="0" fillId="0" borderId="22" xfId="0" applyNumberFormat="1" applyBorder="1" applyAlignment="1">
      <alignment horizontal="center"/>
    </xf>
    <xf numFmtId="168" fontId="0" fillId="0" borderId="14" xfId="0" applyFill="1" applyBorder="1" applyAlignment="1">
      <alignment horizontal="center"/>
    </xf>
    <xf numFmtId="179" fontId="0" fillId="0" borderId="38" xfId="0" applyNumberFormat="1" applyFont="1" applyFill="1" applyBorder="1" applyAlignment="1">
      <alignment horizontal="center"/>
    </xf>
    <xf numFmtId="179" fontId="0" fillId="0" borderId="38" xfId="0" applyNumberFormat="1" applyBorder="1" applyAlignment="1">
      <alignment horizontal="center"/>
    </xf>
    <xf numFmtId="179" fontId="0" fillId="0" borderId="15" xfId="0" applyNumberFormat="1" applyFill="1" applyBorder="1" applyAlignment="1">
      <alignment horizontal="center"/>
    </xf>
    <xf numFmtId="179" fontId="0" fillId="0" borderId="14" xfId="0" applyNumberFormat="1" applyFont="1" applyBorder="1" applyAlignment="1">
      <alignment horizontal="center"/>
    </xf>
    <xf numFmtId="168" fontId="0" fillId="0" borderId="14" xfId="0" applyFill="1" applyBorder="1" applyAlignment="1">
      <alignment/>
    </xf>
    <xf numFmtId="179" fontId="0" fillId="0" borderId="0" xfId="0" applyNumberFormat="1" applyAlignment="1">
      <alignment horizontal="center"/>
    </xf>
    <xf numFmtId="179" fontId="0" fillId="0" borderId="17" xfId="0" applyNumberFormat="1" applyFill="1" applyBorder="1" applyAlignment="1">
      <alignment horizontal="center"/>
    </xf>
    <xf numFmtId="168" fontId="27" fillId="0" borderId="0" xfId="0" applyFont="1" applyBorder="1" applyAlignment="1">
      <alignment horizontal="center"/>
    </xf>
    <xf numFmtId="168" fontId="0" fillId="0" borderId="39" xfId="0" applyBorder="1" applyAlignment="1">
      <alignment/>
    </xf>
    <xf numFmtId="168" fontId="0" fillId="0" borderId="40" xfId="0" applyBorder="1" applyAlignment="1">
      <alignment/>
    </xf>
    <xf numFmtId="168" fontId="0" fillId="0" borderId="41" xfId="0" applyBorder="1" applyAlignment="1">
      <alignment/>
    </xf>
    <xf numFmtId="168" fontId="0" fillId="0" borderId="42" xfId="0" applyBorder="1" applyAlignment="1">
      <alignment/>
    </xf>
    <xf numFmtId="168" fontId="0" fillId="0" borderId="43" xfId="0" applyBorder="1" applyAlignment="1">
      <alignment/>
    </xf>
    <xf numFmtId="168" fontId="0" fillId="0" borderId="44" xfId="0" applyBorder="1" applyAlignment="1">
      <alignment/>
    </xf>
    <xf numFmtId="188" fontId="20" fillId="0" borderId="0" xfId="0" applyNumberFormat="1" applyFont="1" applyAlignment="1">
      <alignment/>
    </xf>
    <xf numFmtId="168" fontId="40" fillId="0" borderId="0" xfId="0" applyFont="1" applyAlignment="1">
      <alignment/>
    </xf>
    <xf numFmtId="168" fontId="40" fillId="0" borderId="0" xfId="0" applyFont="1" applyAlignment="1">
      <alignment horizontal="center"/>
    </xf>
    <xf numFmtId="168" fontId="0" fillId="0" borderId="0" xfId="0" applyFont="1" applyAlignment="1">
      <alignment horizontal="right" vertical="top"/>
    </xf>
    <xf numFmtId="168" fontId="36" fillId="0" borderId="0" xfId="0" applyFont="1" applyAlignment="1">
      <alignment/>
    </xf>
    <xf numFmtId="178" fontId="23" fillId="0" borderId="0" xfId="0" applyNumberFormat="1" applyFont="1" applyAlignment="1">
      <alignment/>
    </xf>
    <xf numFmtId="189" fontId="0" fillId="0" borderId="0" xfId="0" applyNumberFormat="1" applyFont="1" applyAlignment="1">
      <alignment/>
    </xf>
    <xf numFmtId="178" fontId="0" fillId="0" borderId="0" xfId="0" applyNumberFormat="1" applyFont="1" applyAlignment="1">
      <alignment/>
    </xf>
    <xf numFmtId="176" fontId="23" fillId="0" borderId="0" xfId="0" applyNumberFormat="1" applyFont="1" applyAlignment="1">
      <alignment/>
    </xf>
    <xf numFmtId="173" fontId="0" fillId="0" borderId="0" xfId="0" applyNumberFormat="1" applyFont="1" applyAlignment="1">
      <alignment/>
    </xf>
    <xf numFmtId="173" fontId="25" fillId="0" borderId="0" xfId="0" applyNumberFormat="1" applyFont="1" applyAlignment="1">
      <alignment/>
    </xf>
    <xf numFmtId="179" fontId="23" fillId="0" borderId="0" xfId="0" applyNumberFormat="1" applyFont="1" applyAlignment="1">
      <alignment/>
    </xf>
    <xf numFmtId="173" fontId="23" fillId="0" borderId="0" xfId="0" applyNumberFormat="1" applyFont="1" applyAlignment="1">
      <alignment/>
    </xf>
    <xf numFmtId="179" fontId="0" fillId="0" borderId="0" xfId="0" applyNumberFormat="1" applyFont="1" applyAlignment="1">
      <alignment/>
    </xf>
    <xf numFmtId="187" fontId="23" fillId="0" borderId="0" xfId="0" applyNumberFormat="1" applyFont="1" applyAlignment="1">
      <alignment/>
    </xf>
    <xf numFmtId="172" fontId="0" fillId="0" borderId="0" xfId="0" applyNumberFormat="1" applyFont="1" applyAlignment="1">
      <alignment/>
    </xf>
    <xf numFmtId="173" fontId="55" fillId="0" borderId="0" xfId="0" applyNumberFormat="1" applyFont="1" applyAlignment="1">
      <alignment/>
    </xf>
    <xf numFmtId="168" fontId="54" fillId="0" borderId="0" xfId="0" applyFont="1" applyAlignment="1">
      <alignment/>
    </xf>
    <xf numFmtId="172" fontId="0" fillId="0" borderId="0" xfId="0" applyNumberFormat="1" applyAlignment="1">
      <alignment/>
    </xf>
    <xf numFmtId="16" fontId="0" fillId="0" borderId="0" xfId="0" applyNumberFormat="1" applyAlignment="1">
      <alignment/>
    </xf>
    <xf numFmtId="168" fontId="0" fillId="0" borderId="39" xfId="0" applyBorder="1" applyAlignment="1">
      <alignment horizontal="center"/>
    </xf>
    <xf numFmtId="168" fontId="27" fillId="0" borderId="0" xfId="0" applyFont="1" applyBorder="1" applyAlignment="1">
      <alignment horizontal="left"/>
    </xf>
    <xf numFmtId="168" fontId="21" fillId="0" borderId="44" xfId="0" applyFont="1" applyBorder="1" applyAlignment="1">
      <alignment wrapText="1"/>
    </xf>
    <xf numFmtId="168" fontId="0" fillId="0" borderId="43" xfId="0" applyFont="1" applyBorder="1" applyAlignment="1">
      <alignment horizontal="center" wrapText="1"/>
    </xf>
    <xf numFmtId="168" fontId="0" fillId="0" borderId="44" xfId="0" applyFont="1" applyBorder="1" applyAlignment="1">
      <alignment horizontal="center" wrapText="1"/>
    </xf>
    <xf numFmtId="168" fontId="0" fillId="0" borderId="0" xfId="0" applyFill="1" applyBorder="1" applyAlignment="1">
      <alignment horizontal="center"/>
    </xf>
    <xf numFmtId="168" fontId="53" fillId="0" borderId="0" xfId="0" applyFont="1" applyAlignment="1">
      <alignment horizontal="left"/>
    </xf>
    <xf numFmtId="168" fontId="18" fillId="0" borderId="18" xfId="0" applyFont="1" applyBorder="1" applyAlignment="1">
      <alignment horizontal="center"/>
    </xf>
    <xf numFmtId="49" fontId="18" fillId="0" borderId="18" xfId="42" applyNumberFormat="1" applyFont="1" applyFill="1" applyBorder="1" applyAlignment="1" applyProtection="1">
      <alignment horizontal="right"/>
      <protection/>
    </xf>
    <xf numFmtId="168" fontId="18" fillId="0" borderId="18" xfId="42" applyNumberFormat="1" applyFont="1" applyFill="1" applyBorder="1" applyAlignment="1" applyProtection="1">
      <alignment horizontal="left"/>
      <protection/>
    </xf>
    <xf numFmtId="168" fontId="0" fillId="0" borderId="18" xfId="0" applyFont="1" applyBorder="1" applyAlignment="1">
      <alignment/>
    </xf>
    <xf numFmtId="178" fontId="23" fillId="0" borderId="0" xfId="0" applyNumberFormat="1" applyFont="1" applyAlignment="1">
      <alignment horizontal="center"/>
    </xf>
    <xf numFmtId="168" fontId="0" fillId="0" borderId="0" xfId="0" applyFont="1" applyAlignment="1">
      <alignment horizontal="left"/>
    </xf>
    <xf numFmtId="49" fontId="0" fillId="0" borderId="0" xfId="0" applyNumberFormat="1" applyAlignment="1">
      <alignment/>
    </xf>
    <xf numFmtId="173" fontId="0" fillId="0" borderId="0" xfId="0" applyNumberFormat="1" applyFont="1" applyBorder="1" applyAlignment="1">
      <alignment horizontal="right"/>
    </xf>
    <xf numFmtId="187" fontId="0" fillId="0" borderId="0" xfId="0" applyNumberFormat="1" applyFont="1" applyBorder="1" applyAlignment="1">
      <alignment horizontal="right"/>
    </xf>
    <xf numFmtId="175" fontId="0" fillId="0" borderId="0" xfId="0" applyNumberFormat="1" applyFont="1" applyBorder="1" applyAlignment="1">
      <alignment horizontal="right"/>
    </xf>
    <xf numFmtId="182" fontId="0" fillId="0" borderId="0" xfId="0" applyNumberFormat="1" applyFont="1" applyBorder="1" applyAlignment="1">
      <alignment horizontal="right"/>
    </xf>
    <xf numFmtId="183" fontId="0" fillId="0" borderId="0" xfId="0" applyNumberFormat="1" applyFont="1" applyBorder="1" applyAlignment="1">
      <alignment horizontal="right"/>
    </xf>
    <xf numFmtId="49" fontId="0" fillId="0" borderId="0" xfId="0" applyNumberFormat="1" applyFont="1" applyAlignment="1">
      <alignment/>
    </xf>
    <xf numFmtId="190" fontId="0" fillId="0" borderId="0" xfId="0" applyNumberFormat="1" applyFont="1" applyBorder="1" applyAlignment="1">
      <alignment horizontal="right"/>
    </xf>
    <xf numFmtId="177" fontId="0" fillId="0" borderId="0" xfId="0" applyNumberFormat="1" applyFont="1" applyFill="1" applyBorder="1" applyAlignment="1">
      <alignment horizontal="right"/>
    </xf>
    <xf numFmtId="177" fontId="0" fillId="0" borderId="0" xfId="0" applyNumberFormat="1" applyFont="1" applyBorder="1" applyAlignment="1">
      <alignment horizontal="right"/>
    </xf>
    <xf numFmtId="2" fontId="0" fillId="0" borderId="0" xfId="0" applyNumberFormat="1" applyFont="1" applyFill="1" applyBorder="1" applyAlignment="1">
      <alignment horizontal="right"/>
    </xf>
    <xf numFmtId="168" fontId="0" fillId="0" borderId="0" xfId="0" applyNumberFormat="1" applyFont="1" applyFill="1" applyBorder="1" applyAlignment="1">
      <alignment horizontal="right"/>
    </xf>
    <xf numFmtId="182" fontId="0" fillId="0" borderId="0" xfId="0" applyNumberFormat="1" applyAlignment="1">
      <alignment/>
    </xf>
    <xf numFmtId="168" fontId="0" fillId="0" borderId="0" xfId="0" applyAlignment="1">
      <alignment/>
    </xf>
    <xf numFmtId="168" fontId="0" fillId="0" borderId="0" xfId="0" applyNumberFormat="1" applyAlignment="1">
      <alignment/>
    </xf>
    <xf numFmtId="168" fontId="23" fillId="0" borderId="0" xfId="0" applyFont="1" applyAlignment="1">
      <alignment horizontal="right"/>
    </xf>
    <xf numFmtId="179" fontId="34" fillId="25" borderId="0" xfId="0" applyNumberFormat="1" applyFont="1" applyFill="1" applyAlignment="1">
      <alignment horizontal="center"/>
    </xf>
    <xf numFmtId="179" fontId="23" fillId="25" borderId="0" xfId="0" applyNumberFormat="1" applyFont="1" applyFill="1" applyAlignment="1">
      <alignment horizontal="center"/>
    </xf>
    <xf numFmtId="168" fontId="27" fillId="0" borderId="18" xfId="0" applyFont="1" applyBorder="1" applyAlignment="1">
      <alignment horizontal="left"/>
    </xf>
    <xf numFmtId="179" fontId="0" fillId="25" borderId="38" xfId="0" applyNumberFormat="1" applyFill="1" applyBorder="1" applyAlignment="1">
      <alignment horizontal="center"/>
    </xf>
    <xf numFmtId="179" fontId="0" fillId="25" borderId="14" xfId="0" applyNumberFormat="1" applyFill="1" applyBorder="1" applyAlignment="1">
      <alignment horizontal="center"/>
    </xf>
    <xf numFmtId="168" fontId="0" fillId="25" borderId="0" xfId="0" applyFill="1" applyAlignment="1">
      <alignment/>
    </xf>
    <xf numFmtId="168" fontId="0" fillId="0" borderId="45" xfId="0" applyBorder="1" applyAlignment="1">
      <alignment/>
    </xf>
    <xf numFmtId="179" fontId="0" fillId="25" borderId="46" xfId="0" applyNumberFormat="1" applyFill="1" applyBorder="1" applyAlignment="1">
      <alignment horizontal="center"/>
    </xf>
    <xf numFmtId="179" fontId="0" fillId="25" borderId="15" xfId="0" applyNumberFormat="1" applyFill="1" applyBorder="1" applyAlignment="1">
      <alignment horizontal="center"/>
    </xf>
    <xf numFmtId="168" fontId="0" fillId="0" borderId="16" xfId="0" applyFont="1" applyBorder="1" applyAlignment="1">
      <alignment horizontal="center" vertical="center"/>
    </xf>
    <xf numFmtId="168" fontId="0" fillId="0" borderId="14" xfId="0" applyFont="1" applyBorder="1" applyAlignment="1">
      <alignment horizontal="center" vertical="center"/>
    </xf>
    <xf numFmtId="168" fontId="0" fillId="0" borderId="0" xfId="0" applyFont="1" applyBorder="1" applyAlignment="1">
      <alignment/>
    </xf>
    <xf numFmtId="168" fontId="0" fillId="0" borderId="18" xfId="0" applyFont="1" applyBorder="1" applyAlignment="1">
      <alignment/>
    </xf>
    <xf numFmtId="168" fontId="53" fillId="20" borderId="31" xfId="0" applyFont="1" applyFill="1" applyBorder="1" applyAlignment="1">
      <alignment/>
    </xf>
    <xf numFmtId="168" fontId="27" fillId="0" borderId="27" xfId="0" applyFont="1" applyFill="1" applyBorder="1" applyAlignment="1">
      <alignment/>
    </xf>
    <xf numFmtId="168" fontId="27" fillId="0" borderId="29" xfId="0" applyFont="1" applyFill="1" applyBorder="1" applyAlignment="1">
      <alignment/>
    </xf>
    <xf numFmtId="168" fontId="0" fillId="0" borderId="14" xfId="0" applyFont="1" applyBorder="1" applyAlignment="1">
      <alignment horizontal="center"/>
    </xf>
    <xf numFmtId="168" fontId="27" fillId="0" borderId="18" xfId="0" applyFont="1" applyBorder="1" applyAlignment="1">
      <alignment/>
    </xf>
    <xf numFmtId="168" fontId="0" fillId="0" borderId="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heet1"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tahr\Library\Mail%20Downloads\trim%20sheet%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i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M169"/>
  <sheetViews>
    <sheetView zoomScale="125" zoomScaleNormal="125" workbookViewId="0" topLeftCell="A1">
      <selection activeCell="E7" sqref="E7"/>
    </sheetView>
  </sheetViews>
  <sheetFormatPr defaultColWidth="8.8515625" defaultRowHeight="12.75"/>
  <cols>
    <col min="1" max="1" width="28.28125" style="0" customWidth="1"/>
    <col min="2" max="2" width="21.421875" style="1" customWidth="1"/>
    <col min="3" max="3" width="20.00390625" style="0" customWidth="1"/>
    <col min="4" max="4" width="18.7109375" style="1" customWidth="1"/>
    <col min="5" max="5" width="11.8515625" style="0" customWidth="1"/>
    <col min="6" max="10" width="8.8515625" style="0" customWidth="1"/>
    <col min="11" max="11" width="9.28125" style="0" customWidth="1"/>
    <col min="12" max="12" width="14.7109375" style="0" customWidth="1"/>
  </cols>
  <sheetData>
    <row r="1" spans="1:4" ht="16.5">
      <c r="A1" s="2" t="s">
        <v>804</v>
      </c>
      <c r="B1" s="3"/>
      <c r="C1" s="4" t="s">
        <v>805</v>
      </c>
      <c r="D1" s="5">
        <v>500</v>
      </c>
    </row>
    <row r="2" spans="1:6" s="8" customFormat="1" ht="15">
      <c r="A2" s="6" t="s">
        <v>806</v>
      </c>
      <c r="B2" s="7">
        <f ca="1">NOW()</f>
        <v>40351.597337962965</v>
      </c>
      <c r="D2" s="1" t="s">
        <v>807</v>
      </c>
      <c r="F2" s="9"/>
    </row>
    <row r="3" spans="1:4" s="8" customFormat="1" ht="15">
      <c r="A3" s="6" t="s">
        <v>808</v>
      </c>
      <c r="B3" s="10">
        <f ca="1">NOW()</f>
        <v>40351.597337962965</v>
      </c>
      <c r="D3" s="11"/>
    </row>
    <row r="4" spans="1:2" ht="12">
      <c r="A4" s="12" t="s">
        <v>809</v>
      </c>
      <c r="B4" s="13" t="s">
        <v>791</v>
      </c>
    </row>
    <row r="5" spans="1:2" ht="15">
      <c r="A5" s="6"/>
      <c r="B5" s="14"/>
    </row>
    <row r="6" spans="1:5" ht="16.5">
      <c r="A6" s="15" t="s">
        <v>810</v>
      </c>
      <c r="B6" s="16"/>
      <c r="C6" s="17" t="s">
        <v>811</v>
      </c>
      <c r="D6" s="18">
        <v>39955</v>
      </c>
      <c r="E6" s="19"/>
    </row>
    <row r="7" ht="12">
      <c r="C7" s="12" t="s">
        <v>812</v>
      </c>
    </row>
    <row r="8" ht="12">
      <c r="C8" s="12"/>
    </row>
    <row r="9" spans="2:4" ht="12">
      <c r="B9" s="12" t="s">
        <v>813</v>
      </c>
      <c r="C9" s="20">
        <v>50</v>
      </c>
      <c r="D9" t="s">
        <v>814</v>
      </c>
    </row>
    <row r="10" spans="2:4" ht="12">
      <c r="B10" s="12" t="s">
        <v>815</v>
      </c>
      <c r="C10" s="21">
        <v>50</v>
      </c>
      <c r="D10" t="s">
        <v>814</v>
      </c>
    </row>
    <row r="11" spans="1:4" ht="12">
      <c r="A11" s="22"/>
      <c r="B11" s="22" t="s">
        <v>816</v>
      </c>
      <c r="C11" s="22" t="s">
        <v>817</v>
      </c>
      <c r="D11" s="22" t="s">
        <v>818</v>
      </c>
    </row>
    <row r="12" spans="1:4" ht="12">
      <c r="A12" s="23" t="s">
        <v>819</v>
      </c>
      <c r="B12" s="24">
        <v>107</v>
      </c>
      <c r="C12" s="25">
        <f>B12+C$9</f>
        <v>157</v>
      </c>
      <c r="D12" s="26">
        <f>(C12-C15)*B17</f>
        <v>-8.419730598290599</v>
      </c>
    </row>
    <row r="13" spans="1:4" ht="12">
      <c r="A13" s="23" t="s">
        <v>820</v>
      </c>
      <c r="B13" s="24">
        <v>3943</v>
      </c>
      <c r="C13" s="25">
        <f>B13-C$10</f>
        <v>3893</v>
      </c>
      <c r="D13" s="26">
        <f>(C13-C15)*B17</f>
        <v>3.2581204395604395</v>
      </c>
    </row>
    <row r="14" spans="1:4" ht="12">
      <c r="A14" s="23" t="s">
        <v>821</v>
      </c>
      <c r="B14" s="27"/>
      <c r="C14" s="27"/>
      <c r="D14" s="26">
        <f>D13-D12</f>
        <v>11.677851037851038</v>
      </c>
    </row>
    <row r="15" spans="1:4" ht="12">
      <c r="A15" s="23" t="s">
        <v>822</v>
      </c>
      <c r="B15" s="28" t="s">
        <v>823</v>
      </c>
      <c r="C15" s="29">
        <f>Trim!E27</f>
        <v>2850.656</v>
      </c>
      <c r="D15" s="30">
        <f>(C15-C15)*B18</f>
        <v>0</v>
      </c>
    </row>
    <row r="16" spans="1:4" ht="12">
      <c r="A16" s="12"/>
      <c r="C16" s="12" t="s">
        <v>824</v>
      </c>
      <c r="D16" s="1">
        <v>12.8</v>
      </c>
    </row>
    <row r="17" spans="1:4" ht="12">
      <c r="A17" s="23" t="s">
        <v>825</v>
      </c>
      <c r="B17" s="31">
        <f>12.8/4095</f>
        <v>0.0031257631257631258</v>
      </c>
      <c r="C17" t="s">
        <v>826</v>
      </c>
      <c r="D17" s="14" t="s">
        <v>827</v>
      </c>
    </row>
    <row r="18" spans="1:4" ht="12">
      <c r="A18" s="12" t="s">
        <v>828</v>
      </c>
      <c r="B18" s="32">
        <f>1/B17</f>
        <v>319.921875</v>
      </c>
      <c r="C18" t="s">
        <v>829</v>
      </c>
      <c r="D18" s="14"/>
    </row>
    <row r="19" spans="1:4" ht="12">
      <c r="A19" s="12" t="s">
        <v>830</v>
      </c>
      <c r="B19" s="14" t="s">
        <v>831</v>
      </c>
      <c r="D19" s="14"/>
    </row>
    <row r="20" spans="1:4" ht="12">
      <c r="A20" s="12"/>
      <c r="B20" s="14" t="s">
        <v>832</v>
      </c>
      <c r="D20" s="14"/>
    </row>
    <row r="21" spans="1:2" ht="12">
      <c r="A21" s="12"/>
      <c r="B21" s="33"/>
    </row>
    <row r="22" spans="1:4" ht="16.5">
      <c r="A22" s="15" t="s">
        <v>833</v>
      </c>
      <c r="B22" s="16"/>
      <c r="C22" s="17" t="s">
        <v>811</v>
      </c>
      <c r="D22" s="18">
        <v>39948</v>
      </c>
    </row>
    <row r="23" spans="3:5" ht="12">
      <c r="C23" s="12" t="s">
        <v>812</v>
      </c>
      <c r="E23" s="19"/>
    </row>
    <row r="25" spans="2:4" ht="12">
      <c r="B25" s="12" t="s">
        <v>834</v>
      </c>
      <c r="C25" s="34">
        <v>150</v>
      </c>
      <c r="D25" t="s">
        <v>814</v>
      </c>
    </row>
    <row r="26" spans="1:4" ht="12">
      <c r="A26" s="22"/>
      <c r="B26" s="22" t="s">
        <v>816</v>
      </c>
      <c r="C26" s="22" t="s">
        <v>817</v>
      </c>
      <c r="D26" s="22" t="s">
        <v>835</v>
      </c>
    </row>
    <row r="27" spans="1:4" ht="12">
      <c r="A27" s="23" t="s">
        <v>836</v>
      </c>
      <c r="B27" s="24">
        <v>63</v>
      </c>
      <c r="C27" s="25">
        <f>B27+C$25</f>
        <v>213</v>
      </c>
      <c r="D27" s="26">
        <f>(C27-C29)*B32</f>
        <v>-56.17249</v>
      </c>
    </row>
    <row r="28" spans="1:4" ht="12">
      <c r="A28" s="23" t="s">
        <v>837</v>
      </c>
      <c r="B28" s="24">
        <v>3999</v>
      </c>
      <c r="C28" s="25">
        <f>B28-C$25</f>
        <v>3849</v>
      </c>
      <c r="D28" s="26">
        <f>(C28-C29)*B32</f>
        <v>46.61723</v>
      </c>
    </row>
    <row r="29" spans="1:4" ht="12">
      <c r="A29" s="23" t="s">
        <v>838</v>
      </c>
      <c r="B29" s="22"/>
      <c r="C29" s="35">
        <v>2200</v>
      </c>
      <c r="D29" s="19" t="s">
        <v>839</v>
      </c>
    </row>
    <row r="30" spans="1:4" ht="12">
      <c r="A30" s="23" t="s">
        <v>840</v>
      </c>
      <c r="B30" s="36">
        <f>C27+(C28-C27)/2</f>
        <v>2031</v>
      </c>
      <c r="C30" s="35">
        <v>2150</v>
      </c>
      <c r="D30" s="19" t="s">
        <v>841</v>
      </c>
    </row>
    <row r="31" ht="12">
      <c r="A31" s="12"/>
    </row>
    <row r="32" spans="1:4" ht="12">
      <c r="A32" s="23" t="s">
        <v>825</v>
      </c>
      <c r="B32" s="31">
        <v>0.02827</v>
      </c>
      <c r="C32" t="s">
        <v>842</v>
      </c>
      <c r="D32" s="14" t="s">
        <v>843</v>
      </c>
    </row>
    <row r="33" spans="1:4" ht="12">
      <c r="A33" s="12" t="s">
        <v>828</v>
      </c>
      <c r="B33" s="31">
        <v>35.37</v>
      </c>
      <c r="C33" t="s">
        <v>844</v>
      </c>
      <c r="D33" s="14"/>
    </row>
    <row r="34" spans="1:4" ht="12">
      <c r="A34" s="12" t="s">
        <v>845</v>
      </c>
      <c r="B34" s="14" t="s">
        <v>846</v>
      </c>
      <c r="D34" s="14"/>
    </row>
    <row r="36" spans="1:4" ht="16.5">
      <c r="A36" s="15" t="s">
        <v>847</v>
      </c>
      <c r="B36" s="16"/>
      <c r="C36" s="17" t="s">
        <v>811</v>
      </c>
      <c r="D36" s="18">
        <v>39955</v>
      </c>
    </row>
    <row r="37" spans="3:5" ht="12">
      <c r="C37" s="12" t="s">
        <v>812</v>
      </c>
      <c r="E37" s="19"/>
    </row>
    <row r="38" spans="1:3" ht="12">
      <c r="A38" s="12" t="s">
        <v>848</v>
      </c>
      <c r="B38" s="37">
        <v>37</v>
      </c>
      <c r="C38" t="s">
        <v>849</v>
      </c>
    </row>
    <row r="39" spans="1:4" ht="12">
      <c r="A39" s="12" t="s">
        <v>850</v>
      </c>
      <c r="B39" s="38">
        <v>1461069</v>
      </c>
      <c r="D39" s="14"/>
    </row>
    <row r="40" spans="2:4" ht="12">
      <c r="B40" s="12" t="s">
        <v>834</v>
      </c>
      <c r="C40" s="34">
        <v>100</v>
      </c>
      <c r="D40" t="s">
        <v>814</v>
      </c>
    </row>
    <row r="41" spans="1:4" ht="12">
      <c r="A41" s="22"/>
      <c r="B41" s="22" t="s">
        <v>816</v>
      </c>
      <c r="C41" s="22" t="s">
        <v>817</v>
      </c>
      <c r="D41" s="22" t="s">
        <v>851</v>
      </c>
    </row>
    <row r="42" spans="1:4" ht="12">
      <c r="A42" s="23" t="s">
        <v>852</v>
      </c>
      <c r="B42" s="24">
        <v>375</v>
      </c>
      <c r="C42" s="39">
        <f>B42+C$40</f>
        <v>475</v>
      </c>
      <c r="D42" s="25">
        <f>(C42-C45)*B47</f>
        <v>575.748714064</v>
      </c>
    </row>
    <row r="43" spans="1:5" ht="12">
      <c r="A43" s="23" t="s">
        <v>853</v>
      </c>
      <c r="B43" s="24">
        <v>4042</v>
      </c>
      <c r="C43" s="39">
        <f>B43-C40</f>
        <v>3942</v>
      </c>
      <c r="D43" s="25">
        <f>(C43-C45)*B47</f>
        <v>-274.69251793599994</v>
      </c>
      <c r="E43" s="40"/>
    </row>
    <row r="44" spans="1:5" ht="12">
      <c r="A44" s="23" t="s">
        <v>854</v>
      </c>
      <c r="B44" s="27">
        <f>B43-B42</f>
        <v>3667</v>
      </c>
      <c r="C44" s="27">
        <f>C43-C42</f>
        <v>3467</v>
      </c>
      <c r="D44" s="25">
        <f>D42-D43</f>
        <v>850.4412319999999</v>
      </c>
      <c r="E44" s="40"/>
    </row>
    <row r="45" spans="1:5" ht="12">
      <c r="A45" s="23" t="s">
        <v>855</v>
      </c>
      <c r="B45" s="22" t="s">
        <v>856</v>
      </c>
      <c r="C45" s="41">
        <f>Trim!E20</f>
        <v>2822.159</v>
      </c>
      <c r="D45" s="22" t="s">
        <v>857</v>
      </c>
      <c r="E45" s="40"/>
    </row>
    <row r="46" ht="12">
      <c r="B46" s="42"/>
    </row>
    <row r="47" spans="1:4" ht="12">
      <c r="A47" s="23" t="s">
        <v>825</v>
      </c>
      <c r="B47" s="43">
        <v>-0.245296</v>
      </c>
      <c r="C47" t="s">
        <v>858</v>
      </c>
      <c r="D47" s="14" t="s">
        <v>859</v>
      </c>
    </row>
    <row r="48" spans="1:4" ht="12">
      <c r="A48" s="12" t="s">
        <v>828</v>
      </c>
      <c r="B48" s="44">
        <f>1/B47</f>
        <v>-4.076707325027722</v>
      </c>
      <c r="C48" t="s">
        <v>860</v>
      </c>
      <c r="D48" s="14"/>
    </row>
    <row r="49" spans="1:4" ht="12">
      <c r="A49" s="12" t="s">
        <v>861</v>
      </c>
      <c r="B49" s="14" t="s">
        <v>862</v>
      </c>
      <c r="D49" s="14"/>
    </row>
    <row r="50" spans="1:4" ht="12">
      <c r="A50" s="12"/>
      <c r="B50" s="12" t="s">
        <v>863</v>
      </c>
      <c r="D50" s="14"/>
    </row>
    <row r="52" spans="1:4" ht="16.5">
      <c r="A52" s="15" t="s">
        <v>864</v>
      </c>
      <c r="B52" s="16"/>
      <c r="C52" s="17" t="s">
        <v>811</v>
      </c>
      <c r="D52" s="45">
        <f>'Pres cal'!D1</f>
        <v>39941</v>
      </c>
    </row>
    <row r="53" spans="1:5" ht="12">
      <c r="A53" s="46" t="s">
        <v>682</v>
      </c>
      <c r="C53" s="12" t="s">
        <v>812</v>
      </c>
      <c r="E53" s="19"/>
    </row>
    <row r="54" ht="12">
      <c r="B54" s="1" t="s">
        <v>683</v>
      </c>
    </row>
    <row r="55" spans="1:4" ht="12">
      <c r="A55" s="12" t="s">
        <v>684</v>
      </c>
      <c r="B55" s="47" t="str">
        <f>'Pres cal'!B3</f>
        <v>Paine</v>
      </c>
      <c r="C55" s="19"/>
      <c r="D55" s="28"/>
    </row>
    <row r="56" spans="1:3" ht="12">
      <c r="A56" s="12" t="s">
        <v>685</v>
      </c>
      <c r="B56" s="47" t="str">
        <f>'Pres cal'!B4</f>
        <v>211-75-710-05</v>
      </c>
      <c r="C56" s="19"/>
    </row>
    <row r="57" spans="1:4" ht="12">
      <c r="A57" s="48" t="s">
        <v>686</v>
      </c>
      <c r="B57" s="49">
        <f>'Pres cal'!B5</f>
        <v>250369</v>
      </c>
      <c r="C57" s="19"/>
      <c r="D57" s="12"/>
    </row>
    <row r="58" spans="1:3" ht="12">
      <c r="A58" s="48" t="s">
        <v>687</v>
      </c>
      <c r="B58" s="50">
        <f>'Pres cal'!B6</f>
        <v>39547</v>
      </c>
      <c r="C58" s="19"/>
    </row>
    <row r="59" spans="1:4" ht="12">
      <c r="A59" s="12" t="s">
        <v>688</v>
      </c>
      <c r="B59" s="49">
        <f>'Pres cal'!B7</f>
        <v>128</v>
      </c>
      <c r="C59" s="51"/>
      <c r="D59" s="52" t="s">
        <v>689</v>
      </c>
    </row>
    <row r="60" spans="1:2" ht="12">
      <c r="A60" s="23" t="s">
        <v>690</v>
      </c>
      <c r="B60" s="53">
        <f>'Pres cal'!B8</f>
        <v>14.7</v>
      </c>
    </row>
    <row r="61" spans="1:3" ht="12">
      <c r="A61" s="12" t="s">
        <v>691</v>
      </c>
      <c r="B61" s="53">
        <f>'Pres cal'!B9</f>
        <v>0</v>
      </c>
      <c r="C61" s="54" t="s">
        <v>692</v>
      </c>
    </row>
    <row r="62" spans="1:3" ht="12">
      <c r="A62" s="12" t="s">
        <v>781</v>
      </c>
      <c r="B62" s="55">
        <f>'Pres cal'!B64</f>
        <v>0.00011603365894891347</v>
      </c>
      <c r="C62" s="56" t="s">
        <v>782</v>
      </c>
    </row>
    <row r="63" spans="1:4" ht="12">
      <c r="A63" s="23" t="s">
        <v>783</v>
      </c>
      <c r="B63" s="57">
        <f>'Pres cal'!B65</f>
        <v>-67.77409218151543</v>
      </c>
      <c r="C63" s="58" t="s">
        <v>784</v>
      </c>
      <c r="D63"/>
    </row>
    <row r="64" spans="1:4" ht="12">
      <c r="A64" s="23" t="s">
        <v>785</v>
      </c>
      <c r="B64" s="57">
        <f>'Pres cal'!B66</f>
        <v>-46.42525314433807</v>
      </c>
      <c r="C64" s="54" t="s">
        <v>786</v>
      </c>
      <c r="D64"/>
    </row>
    <row r="65" spans="2:4" ht="12">
      <c r="B65" s="59" t="s">
        <v>787</v>
      </c>
      <c r="C65" s="60" t="s">
        <v>788</v>
      </c>
      <c r="D65"/>
    </row>
    <row r="66" spans="1:4" ht="16.5">
      <c r="A66" s="15" t="s">
        <v>789</v>
      </c>
      <c r="B66" s="61"/>
      <c r="C66" s="17" t="s">
        <v>811</v>
      </c>
      <c r="D66" s="62">
        <v>40249</v>
      </c>
    </row>
    <row r="67" spans="1:4" ht="12">
      <c r="A67" s="63" t="s">
        <v>705</v>
      </c>
      <c r="B67" s="38">
        <v>14.76</v>
      </c>
      <c r="C67" s="12" t="s">
        <v>706</v>
      </c>
      <c r="D67" s="36">
        <v>9.68</v>
      </c>
    </row>
    <row r="68" spans="1:4" ht="12">
      <c r="A68" s="63" t="s">
        <v>707</v>
      </c>
      <c r="B68" s="64">
        <v>44.5</v>
      </c>
      <c r="C68" s="63" t="s">
        <v>708</v>
      </c>
      <c r="D68" s="64">
        <v>38.9</v>
      </c>
    </row>
    <row r="69" ht="12">
      <c r="D69" s="65"/>
    </row>
    <row r="70" spans="1:4" ht="16.5">
      <c r="A70" s="15" t="s">
        <v>709</v>
      </c>
      <c r="B70" s="16"/>
      <c r="C70" s="17" t="s">
        <v>811</v>
      </c>
      <c r="D70" s="18">
        <v>39934</v>
      </c>
    </row>
    <row r="71" spans="2:13" ht="12">
      <c r="B71" s="14"/>
      <c r="C71" s="12" t="s">
        <v>812</v>
      </c>
      <c r="E71" s="19"/>
      <c r="I71" s="66"/>
      <c r="J71" s="66"/>
      <c r="K71" s="66"/>
      <c r="L71" s="66"/>
      <c r="M71" s="66"/>
    </row>
    <row r="72" spans="1:2" ht="12">
      <c r="A72" s="12" t="s">
        <v>710</v>
      </c>
      <c r="B72" s="38" t="s">
        <v>711</v>
      </c>
    </row>
    <row r="73" spans="1:2" ht="12">
      <c r="A73" s="12" t="s">
        <v>712</v>
      </c>
      <c r="B73" s="38" t="s">
        <v>713</v>
      </c>
    </row>
    <row r="74" spans="1:2" ht="12">
      <c r="A74" s="12" t="s">
        <v>714</v>
      </c>
      <c r="B74" s="38">
        <v>4322</v>
      </c>
    </row>
    <row r="75" spans="1:2" ht="12">
      <c r="A75" s="12" t="s">
        <v>715</v>
      </c>
      <c r="B75" s="38">
        <v>7.4</v>
      </c>
    </row>
    <row r="76" spans="1:2" ht="12">
      <c r="A76" s="12" t="s">
        <v>716</v>
      </c>
      <c r="B76" s="38" t="s">
        <v>717</v>
      </c>
    </row>
    <row r="77" spans="1:6" ht="12">
      <c r="A77" s="67" t="s">
        <v>718</v>
      </c>
      <c r="B77" s="68">
        <v>39945</v>
      </c>
      <c r="C77" s="66"/>
      <c r="D77" s="69"/>
      <c r="F77" s="70"/>
    </row>
    <row r="78" spans="1:6" ht="12">
      <c r="A78" s="67" t="s">
        <v>719</v>
      </c>
      <c r="B78" s="68">
        <v>39945</v>
      </c>
      <c r="C78" s="66"/>
      <c r="D78" s="69"/>
      <c r="E78" s="66"/>
      <c r="F78" s="66"/>
    </row>
    <row r="79" spans="1:13" s="66" customFormat="1" ht="12">
      <c r="A79" s="12"/>
      <c r="B79" s="1"/>
      <c r="C79"/>
      <c r="D79" s="1"/>
      <c r="I79"/>
      <c r="J79"/>
      <c r="K79"/>
      <c r="L79"/>
      <c r="M79"/>
    </row>
    <row r="80" spans="1:4" ht="16.5">
      <c r="A80" s="15" t="s">
        <v>720</v>
      </c>
      <c r="B80" s="16"/>
      <c r="C80" s="17" t="s">
        <v>811</v>
      </c>
      <c r="D80" s="18">
        <v>39934</v>
      </c>
    </row>
    <row r="81" spans="3:13" ht="12">
      <c r="C81" s="12" t="s">
        <v>812</v>
      </c>
      <c r="E81" s="19"/>
      <c r="I81" s="66"/>
      <c r="J81" s="66"/>
      <c r="K81" s="66"/>
      <c r="L81" s="66"/>
      <c r="M81" s="66"/>
    </row>
    <row r="82" spans="1:3" ht="12">
      <c r="A82" s="63" t="s">
        <v>685</v>
      </c>
      <c r="B82" s="38">
        <v>52290</v>
      </c>
      <c r="C82" s="1" t="s">
        <v>721</v>
      </c>
    </row>
    <row r="83" spans="1:2" ht="12">
      <c r="A83" s="12" t="s">
        <v>722</v>
      </c>
      <c r="B83" s="38" t="s">
        <v>723</v>
      </c>
    </row>
    <row r="84" spans="1:2" ht="12">
      <c r="A84" s="12" t="s">
        <v>724</v>
      </c>
      <c r="B84" s="38" t="s">
        <v>725</v>
      </c>
    </row>
    <row r="85" spans="1:13" ht="12">
      <c r="A85" s="12" t="s">
        <v>726</v>
      </c>
      <c r="B85" s="38" t="s">
        <v>727</v>
      </c>
      <c r="C85" t="s">
        <v>728</v>
      </c>
      <c r="I85" s="66"/>
      <c r="J85" s="66"/>
      <c r="K85" s="66"/>
      <c r="L85" s="66"/>
      <c r="M85" s="66"/>
    </row>
    <row r="86" spans="1:2" ht="12">
      <c r="A86" s="12" t="s">
        <v>729</v>
      </c>
      <c r="B86" s="71" t="s">
        <v>730</v>
      </c>
    </row>
    <row r="87" spans="1:3" ht="12">
      <c r="A87" s="12" t="s">
        <v>731</v>
      </c>
      <c r="B87" s="71" t="s">
        <v>732</v>
      </c>
      <c r="C87" t="s">
        <v>733</v>
      </c>
    </row>
    <row r="88" spans="1:4" ht="12">
      <c r="A88" s="67" t="s">
        <v>714</v>
      </c>
      <c r="B88" s="71" t="s">
        <v>734</v>
      </c>
      <c r="C88" s="66"/>
      <c r="D88" s="69"/>
    </row>
    <row r="89" spans="1:13" s="66" customFormat="1" ht="12">
      <c r="A89" s="12" t="s">
        <v>735</v>
      </c>
      <c r="B89" s="71" t="s">
        <v>736</v>
      </c>
      <c r="C89"/>
      <c r="D89" s="1"/>
      <c r="I89"/>
      <c r="J89"/>
      <c r="K89"/>
      <c r="L89"/>
      <c r="M89"/>
    </row>
    <row r="90" spans="1:2" ht="12">
      <c r="A90" s="12" t="s">
        <v>737</v>
      </c>
      <c r="B90" s="71" t="s">
        <v>738</v>
      </c>
    </row>
    <row r="91" spans="1:2" ht="12">
      <c r="A91" s="12" t="s">
        <v>739</v>
      </c>
      <c r="B91" s="71" t="s">
        <v>740</v>
      </c>
    </row>
    <row r="92" spans="1:4" ht="12">
      <c r="A92" s="67"/>
      <c r="B92" s="71">
        <v>21523</v>
      </c>
      <c r="C92" s="66"/>
      <c r="D92" s="69"/>
    </row>
    <row r="93" spans="1:13" s="66" customFormat="1" ht="12">
      <c r="A93" s="12" t="s">
        <v>741</v>
      </c>
      <c r="B93" s="37" t="s">
        <v>742</v>
      </c>
      <c r="C93" t="s">
        <v>743</v>
      </c>
      <c r="D93" s="1"/>
      <c r="I93"/>
      <c r="J93"/>
      <c r="K93"/>
      <c r="L93"/>
      <c r="M93"/>
    </row>
    <row r="94" ht="12">
      <c r="B94" s="72"/>
    </row>
    <row r="95" spans="1:4" ht="16.5">
      <c r="A95" s="15" t="s">
        <v>744</v>
      </c>
      <c r="B95" s="16"/>
      <c r="C95" s="17" t="s">
        <v>811</v>
      </c>
      <c r="D95" s="18">
        <v>39972</v>
      </c>
    </row>
    <row r="96" spans="2:5" ht="12">
      <c r="B96" s="54"/>
      <c r="C96" s="12" t="s">
        <v>812</v>
      </c>
      <c r="E96" s="19"/>
    </row>
    <row r="97" spans="1:3" ht="12.75">
      <c r="A97" s="12" t="s">
        <v>745</v>
      </c>
      <c r="B97" s="73" t="s">
        <v>746</v>
      </c>
      <c r="C97" s="74"/>
    </row>
    <row r="98" spans="1:3" ht="12.75">
      <c r="A98" s="12" t="s">
        <v>747</v>
      </c>
      <c r="B98" s="73" t="s">
        <v>748</v>
      </c>
      <c r="C98" s="74"/>
    </row>
    <row r="99" spans="1:6" ht="12.75">
      <c r="A99" s="12" t="s">
        <v>749</v>
      </c>
      <c r="B99" s="38" t="s">
        <v>750</v>
      </c>
      <c r="C99" s="74"/>
      <c r="F99" s="66"/>
    </row>
    <row r="100" spans="1:6" ht="12.75">
      <c r="A100" s="12"/>
      <c r="B100" s="36"/>
      <c r="C100" s="74"/>
      <c r="F100" s="66"/>
    </row>
    <row r="101" spans="1:6" ht="12">
      <c r="A101" s="12" t="s">
        <v>751</v>
      </c>
      <c r="B101" s="75" t="s">
        <v>752</v>
      </c>
      <c r="C101" s="54" t="s">
        <v>753</v>
      </c>
      <c r="F101" s="66"/>
    </row>
    <row r="102" spans="1:6" ht="12.75">
      <c r="A102" s="12" t="s">
        <v>754</v>
      </c>
      <c r="B102" s="38" t="s">
        <v>755</v>
      </c>
      <c r="C102" s="74"/>
      <c r="F102" s="66"/>
    </row>
    <row r="103" spans="1:6" ht="12.75">
      <c r="A103" s="12"/>
      <c r="B103" s="36"/>
      <c r="C103" s="74"/>
      <c r="F103" s="66"/>
    </row>
    <row r="104" spans="1:3" ht="12.75">
      <c r="A104" s="12" t="s">
        <v>756</v>
      </c>
      <c r="B104" s="31" t="s">
        <v>757</v>
      </c>
      <c r="C104" s="74"/>
    </row>
    <row r="105" spans="1:3" ht="12.75">
      <c r="A105" s="12" t="s">
        <v>758</v>
      </c>
      <c r="B105" s="31">
        <v>3013</v>
      </c>
      <c r="C105" s="74"/>
    </row>
    <row r="106" spans="1:3" ht="12.75">
      <c r="A106" s="12" t="s">
        <v>759</v>
      </c>
      <c r="B106" s="38">
        <v>5109</v>
      </c>
      <c r="C106" s="74"/>
    </row>
    <row r="107" ht="12">
      <c r="C107" s="22"/>
    </row>
    <row r="108" spans="1:4" ht="16.5">
      <c r="A108" s="15" t="s">
        <v>760</v>
      </c>
      <c r="B108" s="16"/>
      <c r="C108" s="17" t="s">
        <v>811</v>
      </c>
      <c r="D108" s="18">
        <v>40252</v>
      </c>
    </row>
    <row r="109" spans="3:5" ht="12">
      <c r="C109" s="12" t="s">
        <v>812</v>
      </c>
      <c r="E109" s="19"/>
    </row>
    <row r="110" spans="1:2" ht="12">
      <c r="A110" s="12" t="s">
        <v>684</v>
      </c>
      <c r="B110" s="31" t="s">
        <v>761</v>
      </c>
    </row>
    <row r="111" spans="1:2" ht="12">
      <c r="A111" s="12" t="s">
        <v>762</v>
      </c>
      <c r="B111" s="31">
        <v>955</v>
      </c>
    </row>
    <row r="112" spans="1:4" ht="12">
      <c r="A112" s="12" t="s">
        <v>763</v>
      </c>
      <c r="B112" s="600" t="s">
        <v>42</v>
      </c>
      <c r="C112" s="509" t="s">
        <v>43</v>
      </c>
      <c r="D112" s="12"/>
    </row>
    <row r="113" spans="1:4" ht="12">
      <c r="A113" s="12" t="s">
        <v>764</v>
      </c>
      <c r="B113" s="600" t="s">
        <v>42</v>
      </c>
      <c r="D113" s="12"/>
    </row>
    <row r="114" spans="1:4" ht="12">
      <c r="A114" s="12" t="s">
        <v>765</v>
      </c>
      <c r="B114" s="38">
        <v>3.061</v>
      </c>
      <c r="D114" s="12"/>
    </row>
    <row r="115" spans="1:4" ht="12">
      <c r="A115" s="12"/>
      <c r="B115" s="38"/>
      <c r="D115" s="12"/>
    </row>
    <row r="116" spans="1:13" ht="12">
      <c r="A116" s="12" t="s">
        <v>766</v>
      </c>
      <c r="B116" s="76">
        <v>12</v>
      </c>
      <c r="C116" t="s">
        <v>767</v>
      </c>
      <c r="D116" s="14"/>
      <c r="I116" s="66"/>
      <c r="J116" s="66"/>
      <c r="K116" s="66"/>
      <c r="L116" s="66"/>
      <c r="M116" s="66"/>
    </row>
    <row r="117" spans="1:13" ht="12">
      <c r="A117" s="12" t="s">
        <v>768</v>
      </c>
      <c r="B117" s="76">
        <v>10.5</v>
      </c>
      <c r="C117" t="s">
        <v>767</v>
      </c>
      <c r="I117" s="66"/>
      <c r="J117" s="66"/>
      <c r="K117" s="66"/>
      <c r="L117" s="66"/>
      <c r="M117" s="66"/>
    </row>
    <row r="118" spans="1:13" ht="12">
      <c r="A118" s="12" t="s">
        <v>769</v>
      </c>
      <c r="B118" s="77" t="s">
        <v>53</v>
      </c>
      <c r="C118" t="s">
        <v>770</v>
      </c>
      <c r="I118" s="66"/>
      <c r="J118" s="66"/>
      <c r="K118" s="66"/>
      <c r="L118" s="66"/>
      <c r="M118" s="66"/>
    </row>
    <row r="119" spans="1:2" ht="12">
      <c r="A119" s="12"/>
      <c r="B119" s="64"/>
    </row>
    <row r="120" spans="1:4" ht="16.5">
      <c r="A120" s="15" t="s">
        <v>771</v>
      </c>
      <c r="B120" s="16"/>
      <c r="C120" s="17" t="s">
        <v>811</v>
      </c>
      <c r="D120" s="18">
        <v>39934</v>
      </c>
    </row>
    <row r="121" spans="2:5" ht="12">
      <c r="B121" s="14"/>
      <c r="D121" t="s">
        <v>812</v>
      </c>
      <c r="E121" s="19"/>
    </row>
    <row r="122" spans="1:2" ht="12">
      <c r="A122" s="12" t="s">
        <v>762</v>
      </c>
      <c r="B122" s="31" t="s">
        <v>772</v>
      </c>
    </row>
    <row r="123" spans="1:4" ht="12">
      <c r="A123" s="67" t="s">
        <v>773</v>
      </c>
      <c r="B123" s="78" t="s">
        <v>774</v>
      </c>
      <c r="C123" s="66"/>
      <c r="D123" s="69"/>
    </row>
    <row r="124" spans="1:13" s="66" customFormat="1" ht="12">
      <c r="A124" s="12" t="s">
        <v>775</v>
      </c>
      <c r="B124" s="78" t="s">
        <v>776</v>
      </c>
      <c r="D124" s="69"/>
      <c r="I124"/>
      <c r="J124"/>
      <c r="K124"/>
      <c r="L124"/>
      <c r="M124"/>
    </row>
    <row r="125" spans="1:13" s="66" customFormat="1" ht="12">
      <c r="A125" s="67" t="s">
        <v>777</v>
      </c>
      <c r="B125" s="78" t="s">
        <v>778</v>
      </c>
      <c r="C125" s="69" t="s">
        <v>779</v>
      </c>
      <c r="D125" s="69" t="s">
        <v>780</v>
      </c>
      <c r="I125"/>
      <c r="J125"/>
      <c r="K125"/>
      <c r="L125"/>
      <c r="M125"/>
    </row>
    <row r="126" spans="1:13" s="66" customFormat="1" ht="12">
      <c r="A126" s="67" t="s">
        <v>610</v>
      </c>
      <c r="B126" s="79" t="s">
        <v>611</v>
      </c>
      <c r="C126" s="80"/>
      <c r="D126" s="81"/>
      <c r="I126"/>
      <c r="J126"/>
      <c r="K126"/>
      <c r="L126"/>
      <c r="M126"/>
    </row>
    <row r="128" spans="1:4" ht="16.5">
      <c r="A128" s="15" t="s">
        <v>612</v>
      </c>
      <c r="B128" s="16"/>
      <c r="C128" s="17" t="s">
        <v>811</v>
      </c>
      <c r="D128" s="18">
        <v>39934</v>
      </c>
    </row>
    <row r="129" spans="2:5" ht="12">
      <c r="B129" s="54"/>
      <c r="C129" s="22"/>
      <c r="D129" t="s">
        <v>812</v>
      </c>
      <c r="E129" s="19"/>
    </row>
    <row r="130" spans="1:3" ht="12">
      <c r="A130" s="12" t="s">
        <v>613</v>
      </c>
      <c r="B130" s="82">
        <v>111</v>
      </c>
      <c r="C130" s="22"/>
    </row>
    <row r="131" spans="1:3" ht="12">
      <c r="A131" s="12" t="s">
        <v>614</v>
      </c>
      <c r="B131" s="82">
        <f>B130</f>
        <v>111</v>
      </c>
      <c r="C131" s="22"/>
    </row>
    <row r="132" spans="1:3" ht="12">
      <c r="A132" s="12" t="s">
        <v>615</v>
      </c>
      <c r="B132" s="82">
        <f>B130</f>
        <v>111</v>
      </c>
      <c r="C132" s="22"/>
    </row>
    <row r="133" spans="1:3" ht="12">
      <c r="A133" s="12" t="s">
        <v>616</v>
      </c>
      <c r="B133" s="83">
        <v>39902</v>
      </c>
      <c r="C133" s="22"/>
    </row>
    <row r="134" spans="1:5" ht="12">
      <c r="A134" s="608" t="s">
        <v>617</v>
      </c>
      <c r="B134" s="608"/>
      <c r="C134" s="609" t="s">
        <v>618</v>
      </c>
      <c r="D134" s="609"/>
      <c r="E134" s="66"/>
    </row>
    <row r="135" spans="1:9" ht="12">
      <c r="A135" s="84" t="s">
        <v>619</v>
      </c>
      <c r="B135" s="85">
        <v>-9.86865871</v>
      </c>
      <c r="C135" s="84" t="s">
        <v>619</v>
      </c>
      <c r="D135" s="85">
        <v>0.00428349571</v>
      </c>
      <c r="E135" s="66"/>
      <c r="I135" t="s">
        <v>620</v>
      </c>
    </row>
    <row r="136" spans="1:5" ht="12">
      <c r="A136" s="84" t="s">
        <v>621</v>
      </c>
      <c r="B136" s="85">
        <v>1.11693154</v>
      </c>
      <c r="C136" s="84" t="s">
        <v>621</v>
      </c>
      <c r="D136" s="85">
        <v>0.000620325124</v>
      </c>
      <c r="E136" s="66"/>
    </row>
    <row r="137" spans="1:5" ht="12">
      <c r="A137" s="84" t="s">
        <v>622</v>
      </c>
      <c r="B137" s="85">
        <v>-0.000235907928</v>
      </c>
      <c r="C137" s="84" t="s">
        <v>622</v>
      </c>
      <c r="D137" s="85">
        <v>2.24696033E-05</v>
      </c>
      <c r="E137" s="66"/>
    </row>
    <row r="138" spans="1:13" ht="12">
      <c r="A138" s="84" t="s">
        <v>623</v>
      </c>
      <c r="B138" s="85">
        <v>7.80389549E-05</v>
      </c>
      <c r="C138" s="84" t="s">
        <v>623</v>
      </c>
      <c r="D138" s="85">
        <v>2.32676008E-06</v>
      </c>
      <c r="E138" s="66"/>
      <c r="I138" s="66"/>
      <c r="J138" s="66"/>
      <c r="K138" s="66"/>
      <c r="L138" s="66"/>
      <c r="M138" s="66"/>
    </row>
    <row r="139" spans="1:13" ht="12">
      <c r="A139" s="86" t="s">
        <v>792</v>
      </c>
      <c r="B139" s="87">
        <v>-9.57E-08</v>
      </c>
      <c r="C139" s="86" t="s">
        <v>793</v>
      </c>
      <c r="D139" s="88">
        <v>1000</v>
      </c>
      <c r="E139" s="66"/>
      <c r="I139" s="66"/>
      <c r="J139" s="66"/>
      <c r="K139" s="66"/>
      <c r="L139" s="66"/>
      <c r="M139" s="66"/>
    </row>
    <row r="140" spans="1:5" ht="12">
      <c r="A140" s="86" t="s">
        <v>794</v>
      </c>
      <c r="B140" s="85">
        <v>3.25E-06</v>
      </c>
      <c r="C140" s="86"/>
      <c r="D140" s="89"/>
      <c r="E140" s="66"/>
    </row>
    <row r="142" spans="1:4" ht="16.5">
      <c r="A142" s="15" t="s">
        <v>795</v>
      </c>
      <c r="B142" s="16"/>
      <c r="C142" s="17" t="s">
        <v>811</v>
      </c>
      <c r="D142" s="18">
        <v>39934</v>
      </c>
    </row>
    <row r="143" spans="2:5" ht="12">
      <c r="B143" s="54"/>
      <c r="C143" s="22"/>
      <c r="D143" s="90"/>
      <c r="E143" s="19"/>
    </row>
    <row r="144" spans="1:2" ht="12">
      <c r="A144" s="23" t="s">
        <v>684</v>
      </c>
      <c r="B144" s="73"/>
    </row>
    <row r="145" spans="1:4" ht="12">
      <c r="A145" s="12" t="s">
        <v>762</v>
      </c>
      <c r="B145" s="91"/>
      <c r="D145" s="69"/>
    </row>
    <row r="146" spans="1:4" s="66" customFormat="1" ht="12">
      <c r="A146" s="12" t="s">
        <v>714</v>
      </c>
      <c r="B146" s="91"/>
      <c r="D146" s="69"/>
    </row>
    <row r="147" spans="1:13" s="66" customFormat="1" ht="12">
      <c r="A147"/>
      <c r="B147" s="22"/>
      <c r="C147" s="22"/>
      <c r="D147" s="1"/>
      <c r="I147"/>
      <c r="J147"/>
      <c r="K147"/>
      <c r="L147"/>
      <c r="M147"/>
    </row>
    <row r="148" spans="1:4" ht="16.5">
      <c r="A148" s="15" t="s">
        <v>796</v>
      </c>
      <c r="B148" s="16"/>
      <c r="C148" s="17" t="s">
        <v>811</v>
      </c>
      <c r="D148" s="18">
        <v>39934</v>
      </c>
    </row>
    <row r="149" spans="2:5" ht="12">
      <c r="B149" s="36"/>
      <c r="C149" s="22" t="s">
        <v>797</v>
      </c>
      <c r="D149" s="92" t="s">
        <v>798</v>
      </c>
      <c r="E149" s="19"/>
    </row>
    <row r="150" spans="1:6" ht="12">
      <c r="A150" s="23" t="s">
        <v>684</v>
      </c>
      <c r="B150" s="73"/>
      <c r="C150" s="93" t="s">
        <v>799</v>
      </c>
      <c r="D150" s="38"/>
      <c r="F150" s="66"/>
    </row>
    <row r="151" spans="1:6" ht="12">
      <c r="A151" s="12" t="s">
        <v>762</v>
      </c>
      <c r="B151" s="73"/>
      <c r="C151" s="63" t="s">
        <v>800</v>
      </c>
      <c r="D151" s="94"/>
      <c r="F151" s="95"/>
    </row>
    <row r="152" spans="1:6" ht="12">
      <c r="A152" s="12" t="s">
        <v>714</v>
      </c>
      <c r="B152" s="91"/>
      <c r="C152" s="12" t="s">
        <v>801</v>
      </c>
      <c r="D152" s="94"/>
      <c r="F152" s="95"/>
    </row>
    <row r="153" spans="1:6" ht="12">
      <c r="A153" s="67"/>
      <c r="B153" s="91"/>
      <c r="C153" s="67" t="s">
        <v>802</v>
      </c>
      <c r="D153" s="94"/>
      <c r="F153" s="95"/>
    </row>
    <row r="154" spans="1:13" s="66" customFormat="1" ht="12">
      <c r="A154" s="23" t="s">
        <v>684</v>
      </c>
      <c r="B154" s="96"/>
      <c r="C154" s="12" t="s">
        <v>803</v>
      </c>
      <c r="D154" s="94"/>
      <c r="F154" s="95"/>
      <c r="I154"/>
      <c r="J154"/>
      <c r="K154"/>
      <c r="L154"/>
      <c r="M154"/>
    </row>
    <row r="155" spans="1:6" ht="12">
      <c r="A155" s="12" t="s">
        <v>762</v>
      </c>
      <c r="B155" s="31"/>
      <c r="C155" s="63" t="s">
        <v>632</v>
      </c>
      <c r="D155" s="97"/>
      <c r="F155" s="95"/>
    </row>
    <row r="156" spans="1:6" ht="12">
      <c r="A156" s="12" t="s">
        <v>714</v>
      </c>
      <c r="B156" s="91"/>
      <c r="C156" s="63" t="s">
        <v>633</v>
      </c>
      <c r="D156" s="98"/>
      <c r="F156" s="95"/>
    </row>
    <row r="157" spans="2:6" ht="12">
      <c r="B157" s="38"/>
      <c r="C157" s="63" t="s">
        <v>634</v>
      </c>
      <c r="D157" s="99"/>
      <c r="F157" s="95"/>
    </row>
    <row r="158" spans="3:6" ht="12">
      <c r="C158" s="63" t="s">
        <v>635</v>
      </c>
      <c r="D158" s="99"/>
      <c r="F158" s="95"/>
    </row>
    <row r="159" spans="3:6" ht="12">
      <c r="C159" s="63" t="s">
        <v>636</v>
      </c>
      <c r="D159" s="100"/>
      <c r="F159" s="95"/>
    </row>
    <row r="160" spans="3:4" ht="12">
      <c r="C160" s="63" t="s">
        <v>637</v>
      </c>
      <c r="D160" s="101"/>
    </row>
    <row r="161" ht="12">
      <c r="A161" s="63"/>
    </row>
    <row r="163" ht="12">
      <c r="B163" s="38"/>
    </row>
    <row r="164" ht="12">
      <c r="B164" s="38"/>
    </row>
    <row r="165" ht="12">
      <c r="B165" s="38"/>
    </row>
    <row r="169" ht="12">
      <c r="B169" s="38"/>
    </row>
  </sheetData>
  <mergeCells count="2">
    <mergeCell ref="A134:B134"/>
    <mergeCell ref="C134:D134"/>
  </mergeCells>
  <printOptions/>
  <pageMargins left="1" right="0.7479166666666667" top="0.9840277777777777" bottom="0.9840277777777777" header="0.5118055555555555" footer="0.5"/>
  <pageSetup fitToHeight="0" fitToWidth="1" horizontalDpi="300" verticalDpi="300" orientation="portrait"/>
  <headerFooter alignWithMargins="0">
    <oddFooter>&amp;C&amp;F&amp;RPage &amp;P of &amp;N</oddFooter>
  </headerFooter>
  <rowBreaks count="2" manualBreakCount="2">
    <brk id="51" max="255" man="1"/>
    <brk id="107"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F62"/>
  <sheetViews>
    <sheetView workbookViewId="0" topLeftCell="A1">
      <selection activeCell="A1" sqref="A1"/>
    </sheetView>
  </sheetViews>
  <sheetFormatPr defaultColWidth="8.8515625" defaultRowHeight="12.75"/>
  <cols>
    <col min="1" max="1" width="21.7109375" style="583" customWidth="1"/>
    <col min="2" max="2" width="3.00390625" style="583" customWidth="1"/>
    <col min="3" max="3" width="30.421875" style="23" customWidth="1"/>
    <col min="4" max="4" width="2.00390625" style="583" customWidth="1"/>
    <col min="5" max="5" width="53.421875" style="583" customWidth="1"/>
    <col min="6" max="6" width="33.421875" style="0" customWidth="1"/>
    <col min="7" max="7" width="8.8515625" style="0" customWidth="1"/>
    <col min="8" max="8" width="10.28125" style="0" customWidth="1"/>
  </cols>
  <sheetData>
    <row r="1" ht="12">
      <c r="A1" s="583" t="s">
        <v>63</v>
      </c>
    </row>
    <row r="2" ht="12">
      <c r="A2" s="583" t="s">
        <v>64</v>
      </c>
    </row>
    <row r="4" ht="12">
      <c r="A4" s="583" t="s">
        <v>65</v>
      </c>
    </row>
    <row r="5" spans="1:4" ht="12">
      <c r="A5" s="583" t="s">
        <v>66</v>
      </c>
      <c r="B5" s="583" t="s">
        <v>67</v>
      </c>
      <c r="C5" s="584">
        <f>Cal!D1</f>
        <v>500</v>
      </c>
      <c r="D5" s="583" t="s">
        <v>68</v>
      </c>
    </row>
    <row r="6" spans="1:4" ht="12">
      <c r="A6" s="583" t="s">
        <v>69</v>
      </c>
      <c r="B6" s="583" t="s">
        <v>67</v>
      </c>
      <c r="C6" s="23" t="s">
        <v>70</v>
      </c>
      <c r="D6" s="583" t="s">
        <v>68</v>
      </c>
    </row>
    <row r="7" spans="1:5" ht="12">
      <c r="A7" s="583" t="s">
        <v>71</v>
      </c>
      <c r="B7" s="583" t="s">
        <v>72</v>
      </c>
      <c r="C7" s="585">
        <f>Trim!C10/1000</f>
        <v>51.649</v>
      </c>
      <c r="D7" s="583" t="s">
        <v>73</v>
      </c>
      <c r="E7" s="583" t="s">
        <v>74</v>
      </c>
    </row>
    <row r="8" spans="1:5" ht="12">
      <c r="A8" s="583" t="s">
        <v>75</v>
      </c>
      <c r="B8" s="583" t="s">
        <v>72</v>
      </c>
      <c r="C8" s="584">
        <f>Ballast!D38</f>
        <v>50852.092776203965</v>
      </c>
      <c r="D8" s="583" t="s">
        <v>73</v>
      </c>
      <c r="E8" s="583" t="s">
        <v>76</v>
      </c>
    </row>
    <row r="9" spans="1:5" ht="12">
      <c r="A9" s="583" t="s">
        <v>77</v>
      </c>
      <c r="B9" s="583" t="s">
        <v>72</v>
      </c>
      <c r="C9" s="586">
        <f>Ballast!B29</f>
        <v>1.0275</v>
      </c>
      <c r="D9" s="583" t="s">
        <v>73</v>
      </c>
      <c r="E9" s="583" t="s">
        <v>78</v>
      </c>
    </row>
    <row r="11" ht="12">
      <c r="A11" s="583" t="s">
        <v>79</v>
      </c>
    </row>
    <row r="12" spans="1:4" ht="12">
      <c r="A12" s="583" t="s">
        <v>80</v>
      </c>
      <c r="B12" s="583" t="s">
        <v>72</v>
      </c>
      <c r="C12" s="587">
        <v>0.003836</v>
      </c>
      <c r="D12" s="583" t="s">
        <v>73</v>
      </c>
    </row>
    <row r="13" spans="1:4" ht="12">
      <c r="A13" s="583" t="s">
        <v>81</v>
      </c>
      <c r="B13" s="583" t="s">
        <v>72</v>
      </c>
      <c r="C13" s="587">
        <v>0.010078</v>
      </c>
      <c r="D13" s="583" t="s">
        <v>73</v>
      </c>
    </row>
    <row r="14" spans="1:4" ht="12">
      <c r="A14" s="583" t="s">
        <v>82</v>
      </c>
      <c r="B14" s="583" t="s">
        <v>72</v>
      </c>
      <c r="C14" s="587">
        <v>9.85E-06</v>
      </c>
      <c r="D14" s="583" t="s">
        <v>73</v>
      </c>
    </row>
    <row r="15" spans="1:4" ht="12">
      <c r="A15" s="583" t="s">
        <v>83</v>
      </c>
      <c r="B15" s="583" t="s">
        <v>72</v>
      </c>
      <c r="C15" s="587">
        <v>7.05E-05</v>
      </c>
      <c r="D15" s="583" t="s">
        <v>73</v>
      </c>
    </row>
    <row r="16" spans="1:4" ht="12">
      <c r="A16" s="583" t="s">
        <v>84</v>
      </c>
      <c r="B16" s="583" t="s">
        <v>72</v>
      </c>
      <c r="C16" s="587">
        <v>15</v>
      </c>
      <c r="D16" s="583" t="s">
        <v>73</v>
      </c>
    </row>
    <row r="17" spans="1:4" ht="12">
      <c r="A17" s="583" t="s">
        <v>85</v>
      </c>
      <c r="B17" s="583" t="s">
        <v>72</v>
      </c>
      <c r="C17" s="587">
        <v>4.18E-06</v>
      </c>
      <c r="D17" s="583" t="s">
        <v>73</v>
      </c>
    </row>
    <row r="18" spans="1:4" ht="12">
      <c r="A18" s="583" t="s">
        <v>86</v>
      </c>
      <c r="B18" s="583" t="s">
        <v>72</v>
      </c>
      <c r="C18" s="587">
        <v>0</v>
      </c>
      <c r="D18" s="583" t="s">
        <v>73</v>
      </c>
    </row>
    <row r="20" ht="12">
      <c r="A20" s="583" t="s">
        <v>87</v>
      </c>
    </row>
    <row r="21" spans="1:4" ht="12">
      <c r="A21" s="583" t="s">
        <v>88</v>
      </c>
      <c r="B21" s="583" t="s">
        <v>72</v>
      </c>
      <c r="C21" s="584">
        <f>Cal!C12</f>
        <v>157</v>
      </c>
      <c r="D21" s="583" t="s">
        <v>73</v>
      </c>
    </row>
    <row r="22" spans="1:4" ht="12">
      <c r="A22" s="583" t="s">
        <v>89</v>
      </c>
      <c r="B22" s="583" t="s">
        <v>72</v>
      </c>
      <c r="C22" s="584">
        <f>Cal!C13</f>
        <v>3893</v>
      </c>
      <c r="D22" s="583" t="s">
        <v>73</v>
      </c>
    </row>
    <row r="23" spans="1:4" ht="12">
      <c r="A23" s="583" t="s">
        <v>90</v>
      </c>
      <c r="B23" s="583" t="s">
        <v>72</v>
      </c>
      <c r="C23" s="584">
        <f>Cal!C27</f>
        <v>213</v>
      </c>
      <c r="D23" s="583" t="s">
        <v>73</v>
      </c>
    </row>
    <row r="24" spans="1:4" ht="12">
      <c r="A24" s="583" t="s">
        <v>91</v>
      </c>
      <c r="B24" s="583" t="s">
        <v>72</v>
      </c>
      <c r="C24" s="584">
        <f>Cal!C28</f>
        <v>3849</v>
      </c>
      <c r="D24" s="583" t="s">
        <v>73</v>
      </c>
    </row>
    <row r="25" spans="1:4" ht="12">
      <c r="A25" s="583" t="s">
        <v>92</v>
      </c>
      <c r="B25" s="583" t="s">
        <v>72</v>
      </c>
      <c r="C25" s="584">
        <f>Cal!C42</f>
        <v>475</v>
      </c>
      <c r="D25" s="583" t="s">
        <v>73</v>
      </c>
    </row>
    <row r="26" spans="1:4" ht="12">
      <c r="A26" s="583" t="s">
        <v>93</v>
      </c>
      <c r="B26" s="583" t="s">
        <v>72</v>
      </c>
      <c r="C26" s="584">
        <f>Cal!C43</f>
        <v>3942</v>
      </c>
      <c r="D26" s="583" t="s">
        <v>73</v>
      </c>
    </row>
    <row r="27" spans="1:4" ht="12">
      <c r="A27" s="583" t="s">
        <v>94</v>
      </c>
      <c r="B27" s="583" t="s">
        <v>72</v>
      </c>
      <c r="C27" s="586">
        <f>Cal!B48</f>
        <v>-4.076707325027722</v>
      </c>
      <c r="D27" s="583" t="s">
        <v>73</v>
      </c>
    </row>
    <row r="29" ht="12">
      <c r="A29" s="583" t="s">
        <v>95</v>
      </c>
    </row>
    <row r="30" spans="1:4" ht="12">
      <c r="A30" s="583" t="s">
        <v>96</v>
      </c>
      <c r="B30" s="583" t="s">
        <v>72</v>
      </c>
      <c r="C30" s="23">
        <v>1.275</v>
      </c>
      <c r="D30" s="583" t="s">
        <v>73</v>
      </c>
    </row>
    <row r="31" spans="1:4" ht="12">
      <c r="A31" s="583" t="s">
        <v>97</v>
      </c>
      <c r="B31" s="583" t="s">
        <v>72</v>
      </c>
      <c r="C31" s="23">
        <v>-0.00015</v>
      </c>
      <c r="D31" s="583" t="s">
        <v>73</v>
      </c>
    </row>
    <row r="32" spans="1:4" ht="12">
      <c r="A32" s="583" t="s">
        <v>0</v>
      </c>
      <c r="B32" s="583" t="s">
        <v>72</v>
      </c>
      <c r="C32" s="23">
        <v>17.4033</v>
      </c>
      <c r="D32" s="583" t="s">
        <v>73</v>
      </c>
    </row>
    <row r="33" spans="1:4" ht="12">
      <c r="A33" s="583" t="s">
        <v>1</v>
      </c>
      <c r="B33" s="583" t="s">
        <v>72</v>
      </c>
      <c r="C33" s="23">
        <v>0.017824</v>
      </c>
      <c r="D33" s="583" t="s">
        <v>73</v>
      </c>
    </row>
    <row r="35" ht="12">
      <c r="A35" s="583" t="s">
        <v>2</v>
      </c>
    </row>
    <row r="36" spans="1:6" ht="12">
      <c r="A36" s="583" t="s">
        <v>3</v>
      </c>
      <c r="B36" s="583" t="s">
        <v>67</v>
      </c>
      <c r="C36" s="23" t="str">
        <f>"SN: "&amp;Cal!B130&amp;"  CAL: "&amp;Cal!B133</f>
        <v>SN: 111  CAL: 39902</v>
      </c>
      <c r="D36" s="583" t="s">
        <v>68</v>
      </c>
      <c r="E36" s="583" t="s">
        <v>4</v>
      </c>
      <c r="F36" s="23"/>
    </row>
    <row r="37" spans="1:4" ht="12">
      <c r="A37" s="583" t="s">
        <v>5</v>
      </c>
      <c r="B37" s="583" t="s">
        <v>72</v>
      </c>
      <c r="C37" s="587">
        <f>Cal!D135</f>
        <v>0.00428349571</v>
      </c>
      <c r="D37" s="583" t="s">
        <v>73</v>
      </c>
    </row>
    <row r="38" spans="1:4" ht="12">
      <c r="A38" s="583" t="s">
        <v>6</v>
      </c>
      <c r="B38" s="583" t="s">
        <v>72</v>
      </c>
      <c r="C38" s="587">
        <f>Cal!D136</f>
        <v>0.000620325124</v>
      </c>
      <c r="D38" s="583" t="s">
        <v>73</v>
      </c>
    </row>
    <row r="39" spans="1:4" ht="12">
      <c r="A39" s="583" t="s">
        <v>7</v>
      </c>
      <c r="B39" s="583" t="s">
        <v>72</v>
      </c>
      <c r="C39" s="587">
        <f>Cal!D137</f>
        <v>2.24696033E-05</v>
      </c>
      <c r="D39" s="583" t="s">
        <v>73</v>
      </c>
    </row>
    <row r="40" spans="1:4" ht="12">
      <c r="A40" s="583" t="s">
        <v>8</v>
      </c>
      <c r="B40" s="583" t="s">
        <v>72</v>
      </c>
      <c r="C40" s="587">
        <f>Cal!D138</f>
        <v>2.32676008E-06</v>
      </c>
      <c r="D40" s="583" t="s">
        <v>73</v>
      </c>
    </row>
    <row r="41" spans="1:4" ht="12">
      <c r="A41" s="583" t="s">
        <v>9</v>
      </c>
      <c r="B41" s="583" t="s">
        <v>72</v>
      </c>
      <c r="C41" s="587">
        <f>Cal!B135</f>
        <v>-9.86865871</v>
      </c>
      <c r="D41" s="583" t="s">
        <v>73</v>
      </c>
    </row>
    <row r="42" spans="1:4" ht="12">
      <c r="A42" s="583" t="s">
        <v>10</v>
      </c>
      <c r="B42" s="583" t="s">
        <v>72</v>
      </c>
      <c r="C42" s="587">
        <f>Cal!B136</f>
        <v>1.11693154</v>
      </c>
      <c r="D42" s="583" t="s">
        <v>73</v>
      </c>
    </row>
    <row r="43" spans="1:4" ht="12">
      <c r="A43" s="583" t="s">
        <v>11</v>
      </c>
      <c r="B43" s="583" t="s">
        <v>72</v>
      </c>
      <c r="C43" s="587">
        <f>Cal!B137</f>
        <v>-0.000235907928</v>
      </c>
      <c r="D43" s="583" t="s">
        <v>73</v>
      </c>
    </row>
    <row r="44" spans="1:4" ht="12">
      <c r="A44" s="583" t="s">
        <v>12</v>
      </c>
      <c r="B44" s="583" t="s">
        <v>72</v>
      </c>
      <c r="C44" s="587">
        <f>Cal!B138</f>
        <v>7.80389549E-05</v>
      </c>
      <c r="D44" s="583" t="s">
        <v>73</v>
      </c>
    </row>
    <row r="45" spans="1:4" ht="12">
      <c r="A45" s="583" t="s">
        <v>13</v>
      </c>
      <c r="B45" s="583" t="s">
        <v>72</v>
      </c>
      <c r="C45" s="588">
        <f>Cal!B139</f>
        <v>-9.57E-08</v>
      </c>
      <c r="D45" s="583" t="s">
        <v>73</v>
      </c>
    </row>
    <row r="46" spans="1:4" ht="12">
      <c r="A46" s="583" t="s">
        <v>14</v>
      </c>
      <c r="B46" s="583" t="s">
        <v>72</v>
      </c>
      <c r="C46" s="588">
        <f>Cal!B140</f>
        <v>3.25E-06</v>
      </c>
      <c r="D46" s="583" t="s">
        <v>73</v>
      </c>
    </row>
    <row r="47" spans="1:5" ht="12">
      <c r="A47" s="583" t="s">
        <v>15</v>
      </c>
      <c r="B47" s="583" t="s">
        <v>72</v>
      </c>
      <c r="C47" s="587">
        <v>2.98319</v>
      </c>
      <c r="D47" s="589" t="s">
        <v>73</v>
      </c>
      <c r="E47" s="583" t="s">
        <v>16</v>
      </c>
    </row>
    <row r="48" spans="1:5" ht="12">
      <c r="A48" s="583" t="s">
        <v>112</v>
      </c>
      <c r="B48" s="583" t="s">
        <v>72</v>
      </c>
      <c r="C48" s="587">
        <v>8</v>
      </c>
      <c r="D48" s="589" t="s">
        <v>73</v>
      </c>
      <c r="E48" s="583" t="s">
        <v>113</v>
      </c>
    </row>
    <row r="49" spans="1:5" ht="12">
      <c r="A49" s="583" t="s">
        <v>114</v>
      </c>
      <c r="B49" s="583" t="s">
        <v>72</v>
      </c>
      <c r="C49" s="587">
        <v>2.924212</v>
      </c>
      <c r="D49" s="589" t="s">
        <v>73</v>
      </c>
      <c r="E49" s="583" t="s">
        <v>115</v>
      </c>
    </row>
    <row r="50" spans="1:5" ht="12">
      <c r="A50" s="583" t="s">
        <v>116</v>
      </c>
      <c r="B50" s="583" t="s">
        <v>72</v>
      </c>
      <c r="C50" s="587">
        <v>5.555283</v>
      </c>
      <c r="D50" s="589" t="s">
        <v>73</v>
      </c>
      <c r="E50" s="583" t="s">
        <v>117</v>
      </c>
    </row>
    <row r="51" ht="12">
      <c r="C51" s="590"/>
    </row>
    <row r="52" ht="12">
      <c r="A52" s="583" t="s">
        <v>118</v>
      </c>
    </row>
    <row r="53" spans="1:5" ht="12">
      <c r="A53" s="583" t="s">
        <v>119</v>
      </c>
      <c r="B53" s="583" t="s">
        <v>67</v>
      </c>
      <c r="C53" s="23" t="str">
        <f>Cal!B150&amp;" "&amp;Cal!B151</f>
        <v> </v>
      </c>
      <c r="D53" s="583" t="s">
        <v>68</v>
      </c>
      <c r="E53" s="583" t="s">
        <v>120</v>
      </c>
    </row>
    <row r="54" spans="1:5" ht="12">
      <c r="A54" s="583" t="s">
        <v>121</v>
      </c>
      <c r="B54" s="583" t="s">
        <v>67</v>
      </c>
      <c r="C54" s="23" t="str">
        <f>"SN: "&amp;Cal!B152&amp;"  CAL: "&amp;Cal!D149</f>
        <v>SN:   CAL: 00/00/00</v>
      </c>
      <c r="D54" s="583" t="s">
        <v>68</v>
      </c>
      <c r="E54" s="583" t="s">
        <v>4</v>
      </c>
    </row>
    <row r="55" spans="1:4" ht="12">
      <c r="A55" s="583" t="s">
        <v>122</v>
      </c>
      <c r="B55" s="583" t="s">
        <v>72</v>
      </c>
      <c r="C55" s="591">
        <f>Cal!D151</f>
        <v>0</v>
      </c>
      <c r="D55" s="583" t="s">
        <v>73</v>
      </c>
    </row>
    <row r="56" spans="1:4" ht="12">
      <c r="A56" s="583" t="s">
        <v>123</v>
      </c>
      <c r="B56" s="583" t="s">
        <v>72</v>
      </c>
      <c r="C56" s="592">
        <f>Cal!D155</f>
        <v>0</v>
      </c>
      <c r="D56" s="583" t="s">
        <v>73</v>
      </c>
    </row>
    <row r="57" spans="1:4" ht="12">
      <c r="A57" s="583" t="s">
        <v>124</v>
      </c>
      <c r="B57" s="583" t="s">
        <v>72</v>
      </c>
      <c r="C57" s="591">
        <f>Cal!D156</f>
        <v>0</v>
      </c>
      <c r="D57" s="583" t="s">
        <v>73</v>
      </c>
    </row>
    <row r="58" spans="1:4" ht="12">
      <c r="A58" s="583" t="s">
        <v>125</v>
      </c>
      <c r="B58" s="583" t="s">
        <v>72</v>
      </c>
      <c r="C58" s="591">
        <f>Cal!D157</f>
        <v>0</v>
      </c>
      <c r="D58" s="583" t="s">
        <v>73</v>
      </c>
    </row>
    <row r="59" spans="1:4" ht="12">
      <c r="A59" s="583" t="s">
        <v>126</v>
      </c>
      <c r="B59" s="583" t="s">
        <v>72</v>
      </c>
      <c r="C59" s="591">
        <f>Cal!D158</f>
        <v>0</v>
      </c>
      <c r="D59" s="583" t="s">
        <v>73</v>
      </c>
    </row>
    <row r="60" spans="1:4" ht="12">
      <c r="A60" s="583" t="s">
        <v>127</v>
      </c>
      <c r="B60" s="583" t="s">
        <v>72</v>
      </c>
      <c r="C60" s="592">
        <f>Cal!D159</f>
        <v>0</v>
      </c>
      <c r="D60" s="583" t="s">
        <v>73</v>
      </c>
    </row>
    <row r="61" spans="1:4" ht="12">
      <c r="A61" s="583" t="s">
        <v>128</v>
      </c>
      <c r="B61" s="583" t="s">
        <v>72</v>
      </c>
      <c r="C61" s="593">
        <f>Cal!D160</f>
        <v>0</v>
      </c>
      <c r="D61" s="583" t="s">
        <v>73</v>
      </c>
    </row>
    <row r="62" spans="1:4" ht="12">
      <c r="A62" s="583" t="s">
        <v>129</v>
      </c>
      <c r="B62" s="583" t="s">
        <v>72</v>
      </c>
      <c r="C62" s="594">
        <v>0</v>
      </c>
      <c r="D62" s="583" t="s">
        <v>73</v>
      </c>
    </row>
  </sheetData>
  <printOptions/>
  <pageMargins left="0.7479166666666667" right="0.7479166666666667" top="0.9840277777777777" bottom="0.9840277777777777" header="0.5118055555555555" footer="0.5"/>
  <pageSetup fitToHeight="1" fitToWidth="1" horizontalDpi="300" verticalDpi="300" orientation="portrait"/>
  <headerFooter alignWithMargins="0">
    <oddFooter>&amp;C&amp;F&amp;R&amp;P of &amp;N</oddFooter>
  </headerFooter>
</worksheet>
</file>

<file path=xl/worksheets/sheet11.xml><?xml version="1.0" encoding="utf-8"?>
<worksheet xmlns="http://schemas.openxmlformats.org/spreadsheetml/2006/main" xmlns:r="http://schemas.openxmlformats.org/officeDocument/2006/relationships">
  <dimension ref="A1:B27"/>
  <sheetViews>
    <sheetView workbookViewId="0" topLeftCell="A1">
      <selection activeCell="A1" sqref="A1"/>
    </sheetView>
  </sheetViews>
  <sheetFormatPr defaultColWidth="8.8515625" defaultRowHeight="12.75"/>
  <cols>
    <col min="1" max="1" width="25.421875" style="583" customWidth="1"/>
    <col min="2" max="2" width="18.421875" style="0" customWidth="1"/>
  </cols>
  <sheetData>
    <row r="1" spans="1:2" ht="12">
      <c r="A1" s="583" t="s">
        <v>130</v>
      </c>
      <c r="B1" s="595">
        <f>Cal!D135</f>
        <v>0.00428349571</v>
      </c>
    </row>
    <row r="2" spans="1:2" ht="12">
      <c r="A2" s="583" t="s">
        <v>131</v>
      </c>
      <c r="B2" s="595">
        <f>Cal!D136</f>
        <v>0.000620325124</v>
      </c>
    </row>
    <row r="3" spans="1:2" ht="12">
      <c r="A3" s="583" t="s">
        <v>132</v>
      </c>
      <c r="B3" s="595">
        <f>Cal!D137</f>
        <v>2.24696033E-05</v>
      </c>
    </row>
    <row r="4" spans="1:2" ht="12">
      <c r="A4" s="583" t="s">
        <v>133</v>
      </c>
      <c r="B4" s="595">
        <f>Cal!D138</f>
        <v>2.32676008E-06</v>
      </c>
    </row>
    <row r="5" spans="1:2" ht="12">
      <c r="A5" s="583" t="s">
        <v>134</v>
      </c>
      <c r="B5" s="595">
        <f>Cal!B135</f>
        <v>-9.86865871</v>
      </c>
    </row>
    <row r="6" spans="1:2" ht="12">
      <c r="A6" s="583" t="s">
        <v>135</v>
      </c>
      <c r="B6" s="595">
        <f>Cal!B136</f>
        <v>1.11693154</v>
      </c>
    </row>
    <row r="7" spans="1:2" ht="12">
      <c r="A7" s="583" t="s">
        <v>136</v>
      </c>
      <c r="B7" s="595">
        <f>Cal!B137</f>
        <v>-0.000235907928</v>
      </c>
    </row>
    <row r="8" spans="1:2" ht="12">
      <c r="A8" s="583" t="s">
        <v>137</v>
      </c>
      <c r="B8" s="595">
        <f>Cal!B138</f>
        <v>7.80389549E-05</v>
      </c>
    </row>
    <row r="9" spans="1:2" ht="12">
      <c r="A9" s="583" t="s">
        <v>138</v>
      </c>
      <c r="B9" s="595">
        <f>Cal!B62</f>
        <v>0.00011603365894891347</v>
      </c>
    </row>
    <row r="10" spans="1:2" ht="12">
      <c r="A10" s="583" t="s">
        <v>139</v>
      </c>
      <c r="B10" s="40">
        <f>Cal!C42</f>
        <v>475</v>
      </c>
    </row>
    <row r="11" spans="1:2" ht="12">
      <c r="A11" s="583" t="s">
        <v>140</v>
      </c>
      <c r="B11" s="40">
        <f>Cal!C43</f>
        <v>3942</v>
      </c>
    </row>
    <row r="12" spans="1:2" ht="12">
      <c r="A12" s="583" t="s">
        <v>141</v>
      </c>
      <c r="B12" s="40">
        <f>Cal!C45</f>
        <v>2822.159</v>
      </c>
    </row>
    <row r="13" spans="1:2" ht="12">
      <c r="A13" s="583" t="s">
        <v>142</v>
      </c>
      <c r="B13" s="595">
        <f>Cal!B47</f>
        <v>-0.245296</v>
      </c>
    </row>
    <row r="14" spans="1:2" ht="12">
      <c r="A14" s="583" t="s">
        <v>143</v>
      </c>
      <c r="B14" s="40">
        <f>Cal!C12</f>
        <v>157</v>
      </c>
    </row>
    <row r="15" spans="1:2" ht="12">
      <c r="A15" s="583" t="s">
        <v>29</v>
      </c>
      <c r="B15" s="40">
        <f>Cal!C13</f>
        <v>3893</v>
      </c>
    </row>
    <row r="16" spans="1:2" ht="12">
      <c r="A16" s="583" t="s">
        <v>30</v>
      </c>
      <c r="B16" s="40">
        <f>Cal!C15</f>
        <v>2850.656</v>
      </c>
    </row>
    <row r="17" spans="1:2" ht="12">
      <c r="A17" s="583" t="s">
        <v>31</v>
      </c>
      <c r="B17" s="596">
        <f>Cal!B17</f>
        <v>0.0031257631257631258</v>
      </c>
    </row>
    <row r="18" spans="1:2" ht="12">
      <c r="A18" s="583" t="s">
        <v>32</v>
      </c>
      <c r="B18">
        <v>25</v>
      </c>
    </row>
    <row r="19" spans="1:2" ht="12">
      <c r="A19" s="583" t="s">
        <v>33</v>
      </c>
      <c r="B19" s="40">
        <f>Cal!C27</f>
        <v>213</v>
      </c>
    </row>
    <row r="20" spans="1:2" ht="12">
      <c r="A20" s="583" t="s">
        <v>34</v>
      </c>
      <c r="B20" s="40">
        <f>Cal!C28</f>
        <v>3849</v>
      </c>
    </row>
    <row r="21" spans="1:2" ht="12">
      <c r="A21" s="583" t="s">
        <v>35</v>
      </c>
      <c r="B21" s="597">
        <f>Cal!C29</f>
        <v>2200</v>
      </c>
    </row>
    <row r="22" spans="1:2" ht="12">
      <c r="A22" s="583" t="s">
        <v>36</v>
      </c>
      <c r="B22" s="597">
        <f>Cal!C30</f>
        <v>2150</v>
      </c>
    </row>
    <row r="23" spans="1:2" ht="12">
      <c r="A23" s="583" t="s">
        <v>37</v>
      </c>
      <c r="B23" s="596">
        <f>Cal!B32</f>
        <v>0.02827</v>
      </c>
    </row>
    <row r="24" spans="1:2" ht="12">
      <c r="A24" s="583" t="s">
        <v>38</v>
      </c>
      <c r="B24" s="596">
        <f>Trim!C18</f>
        <v>1.0275</v>
      </c>
    </row>
    <row r="25" spans="1:2" ht="12">
      <c r="A25" s="583" t="s">
        <v>39</v>
      </c>
      <c r="B25" s="40">
        <f>Trim!C10</f>
        <v>51649</v>
      </c>
    </row>
    <row r="26" spans="1:2" ht="12">
      <c r="A26" s="583" t="s">
        <v>40</v>
      </c>
      <c r="B26">
        <v>150</v>
      </c>
    </row>
    <row r="27" spans="1:2" ht="12">
      <c r="A27" s="583" t="s">
        <v>41</v>
      </c>
      <c r="B27">
        <v>100</v>
      </c>
    </row>
  </sheetData>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IV338"/>
  <sheetViews>
    <sheetView tabSelected="1" workbookViewId="0" topLeftCell="A112">
      <selection activeCell="B127" sqref="B127"/>
    </sheetView>
  </sheetViews>
  <sheetFormatPr defaultColWidth="8.8515625" defaultRowHeight="12.75"/>
  <cols>
    <col min="1" max="1" width="9.140625" style="22" customWidth="1"/>
    <col min="2" max="2" width="71.7109375" style="19" customWidth="1"/>
    <col min="3" max="3" width="16.00390625" style="22" customWidth="1"/>
    <col min="4" max="4" width="9.00390625" style="22" customWidth="1"/>
    <col min="5" max="5" width="12.421875" style="36" customWidth="1"/>
    <col min="6" max="6" width="10.7109375" style="22" customWidth="1"/>
    <col min="7" max="7" width="12.421875" style="36" customWidth="1"/>
    <col min="8" max="8" width="12.00390625" style="22" customWidth="1"/>
    <col min="9" max="9" width="11.00390625" style="22" customWidth="1"/>
    <col min="10" max="10" width="13.28125" style="36" customWidth="1"/>
    <col min="11" max="11" width="11.00390625" style="22" customWidth="1"/>
    <col min="12" max="12" width="9.7109375" style="36" customWidth="1"/>
    <col min="13" max="13" width="9.7109375" style="19" customWidth="1"/>
    <col min="14" max="14" width="10.8515625" style="22" customWidth="1"/>
    <col min="15" max="16" width="9.7109375" style="22" customWidth="1"/>
    <col min="17" max="17" width="12.00390625" style="22" customWidth="1"/>
    <col min="18" max="18" width="9.28125" style="22" customWidth="1"/>
    <col min="19" max="19" width="14.140625" style="19" customWidth="1"/>
    <col min="20" max="21" width="8.8515625" style="19" customWidth="1"/>
    <col min="22" max="22" width="8.7109375" style="22" customWidth="1"/>
    <col min="23" max="16384" width="8.8515625" style="19" customWidth="1"/>
  </cols>
  <sheetData>
    <row r="1" spans="1:256" ht="21">
      <c r="A1" s="1"/>
      <c r="B1" s="102" t="s">
        <v>638</v>
      </c>
      <c r="C1" s="1"/>
      <c r="D1" s="6" t="s">
        <v>806</v>
      </c>
      <c r="E1" s="103">
        <f ca="1">TODAY()</f>
        <v>40351</v>
      </c>
      <c r="H1" s="1"/>
      <c r="I1" s="1"/>
      <c r="K1" s="1"/>
      <c r="L1" s="38"/>
      <c r="M1"/>
      <c r="N1" s="1"/>
      <c r="P1" s="1"/>
      <c r="Q1" s="1"/>
      <c r="R1" s="1"/>
      <c r="S1"/>
      <c r="T1"/>
      <c r="U1"/>
      <c r="V1" s="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2" s="107" customFormat="1" ht="23.25">
      <c r="A2" s="104"/>
      <c r="B2" s="105" t="s">
        <v>639</v>
      </c>
      <c r="C2" s="106">
        <f>Cal!D1</f>
        <v>500</v>
      </c>
      <c r="D2" s="6" t="s">
        <v>808</v>
      </c>
      <c r="E2" s="10">
        <v>0.5833333333333334</v>
      </c>
      <c r="G2" s="108"/>
      <c r="I2" s="104"/>
      <c r="L2" s="109"/>
      <c r="M2" s="6" t="s">
        <v>640</v>
      </c>
      <c r="N2" s="104"/>
      <c r="O2" s="110"/>
      <c r="P2"/>
      <c r="Q2" s="104"/>
      <c r="R2" s="104"/>
      <c r="V2" s="104"/>
    </row>
    <row r="3" spans="1:22" s="112" customFormat="1" ht="15">
      <c r="A3" s="111"/>
      <c r="C3" s="113"/>
      <c r="D3" s="111"/>
      <c r="E3" s="114"/>
      <c r="F3" s="111"/>
      <c r="G3" s="114"/>
      <c r="H3" s="111"/>
      <c r="I3" s="111"/>
      <c r="J3" s="115"/>
      <c r="K3" s="111"/>
      <c r="L3" s="111"/>
      <c r="N3" s="111"/>
      <c r="O3" s="115"/>
      <c r="P3" s="111"/>
      <c r="Q3" s="111"/>
      <c r="R3" s="111"/>
      <c r="V3" s="111"/>
    </row>
    <row r="4" spans="1:18" s="8" customFormat="1" ht="15">
      <c r="A4" s="11"/>
      <c r="B4" s="6" t="s">
        <v>641</v>
      </c>
      <c r="C4" s="113"/>
      <c r="E4" s="113"/>
      <c r="F4" s="116"/>
      <c r="G4" s="113"/>
      <c r="I4" s="11"/>
      <c r="J4" s="117"/>
      <c r="K4" s="118"/>
      <c r="L4" s="119"/>
      <c r="M4" s="117"/>
      <c r="N4" s="118"/>
      <c r="O4" s="118"/>
      <c r="P4" s="118"/>
      <c r="Q4" s="116"/>
      <c r="R4" s="11"/>
    </row>
    <row r="5" spans="1:18" s="8" customFormat="1" ht="15">
      <c r="A5" s="11"/>
      <c r="C5" s="113"/>
      <c r="E5" s="113"/>
      <c r="F5" s="116"/>
      <c r="G5" s="113"/>
      <c r="I5" s="11"/>
      <c r="J5" s="117"/>
      <c r="K5" s="118"/>
      <c r="L5" s="117"/>
      <c r="M5" s="120"/>
      <c r="N5" s="118"/>
      <c r="O5" s="118"/>
      <c r="P5" s="118"/>
      <c r="Q5" s="116"/>
      <c r="R5" s="11"/>
    </row>
    <row r="6" spans="1:18" s="8" customFormat="1" ht="15.75">
      <c r="A6" s="11"/>
      <c r="B6" s="121"/>
      <c r="E6" s="113"/>
      <c r="F6" s="116"/>
      <c r="G6" s="113"/>
      <c r="I6" s="11"/>
      <c r="J6" s="117"/>
      <c r="K6" s="118"/>
      <c r="L6" s="6" t="s">
        <v>642</v>
      </c>
      <c r="M6" s="122">
        <f>Trim!C61</f>
        <v>7421</v>
      </c>
      <c r="N6" s="118"/>
      <c r="O6" s="118"/>
      <c r="P6" s="118"/>
      <c r="Q6" s="116"/>
      <c r="R6" s="11"/>
    </row>
    <row r="7" spans="1:18" s="8" customFormat="1" ht="15.75">
      <c r="A7" s="11"/>
      <c r="B7" s="121"/>
      <c r="C7" s="123" t="s">
        <v>643</v>
      </c>
      <c r="E7" s="113"/>
      <c r="F7" s="116"/>
      <c r="G7" s="113"/>
      <c r="I7" s="11"/>
      <c r="J7" s="117"/>
      <c r="K7" s="118"/>
      <c r="L7" s="6" t="s">
        <v>644</v>
      </c>
      <c r="M7" s="122">
        <f>Trim!C91</f>
        <v>4591</v>
      </c>
      <c r="N7" s="118"/>
      <c r="O7" s="118"/>
      <c r="P7" s="118"/>
      <c r="Q7" s="116"/>
      <c r="R7" s="11"/>
    </row>
    <row r="8" spans="1:18" s="126" customFormat="1" ht="15">
      <c r="A8" s="124"/>
      <c r="B8" s="125" t="s">
        <v>645</v>
      </c>
      <c r="E8" s="127"/>
      <c r="F8" s="124"/>
      <c r="G8" s="128"/>
      <c r="I8" s="124"/>
      <c r="J8" s="129"/>
      <c r="K8" s="130"/>
      <c r="L8" s="6" t="s">
        <v>646</v>
      </c>
      <c r="M8" s="122">
        <f>Trim!E56+Trim!E57-2.5</f>
        <v>37</v>
      </c>
      <c r="N8" s="131"/>
      <c r="O8" s="132"/>
      <c r="P8" s="130"/>
      <c r="Q8" s="124"/>
      <c r="R8" s="124"/>
    </row>
    <row r="9" spans="1:18" s="8" customFormat="1" ht="15">
      <c r="A9" s="11"/>
      <c r="B9" s="6" t="s">
        <v>647</v>
      </c>
      <c r="C9" s="116">
        <f>Total_Weight</f>
        <v>51649.09999999999</v>
      </c>
      <c r="D9" s="133" t="s">
        <v>648</v>
      </c>
      <c r="E9"/>
      <c r="G9" s="113"/>
      <c r="J9" s="117"/>
      <c r="L9" s="6" t="s">
        <v>649</v>
      </c>
      <c r="M9" s="134">
        <f>C143</f>
        <v>38796</v>
      </c>
      <c r="N9" s="135" t="s">
        <v>650</v>
      </c>
      <c r="O9" s="120"/>
      <c r="Q9" s="11"/>
      <c r="R9" s="11"/>
    </row>
    <row r="10" spans="1:18" s="8" customFormat="1" ht="15">
      <c r="A10" s="11"/>
      <c r="B10" s="136" t="s">
        <v>651</v>
      </c>
      <c r="C10" s="137">
        <v>51649</v>
      </c>
      <c r="D10" s="133" t="s">
        <v>648</v>
      </c>
      <c r="E10" s="138" t="s">
        <v>790</v>
      </c>
      <c r="G10" s="113"/>
      <c r="H10" s="6"/>
      <c r="I10" s="132"/>
      <c r="K10" s="139"/>
      <c r="L10" s="6" t="s">
        <v>652</v>
      </c>
      <c r="M10" s="122">
        <f>SUM(M5:M9)</f>
        <v>50845</v>
      </c>
      <c r="N10" s="118"/>
      <c r="O10" s="117"/>
      <c r="Q10" s="11"/>
      <c r="R10" s="11"/>
    </row>
    <row r="11" spans="1:18" s="8" customFormat="1" ht="15">
      <c r="A11" s="11"/>
      <c r="B11" s="140" t="s">
        <v>653</v>
      </c>
      <c r="C11" s="132">
        <f>C10-Total_Weight_In_Air</f>
        <v>-0.09999999999126885</v>
      </c>
      <c r="D11" s="133" t="s">
        <v>648</v>
      </c>
      <c r="E11" s="113"/>
      <c r="H11" s="136"/>
      <c r="I11" s="116"/>
      <c r="J11" s="133"/>
      <c r="L11" s="118" t="s">
        <v>654</v>
      </c>
      <c r="M11" s="141">
        <f>M15</f>
        <v>50845</v>
      </c>
      <c r="N11" s="118"/>
      <c r="O11" s="117"/>
      <c r="Q11" s="11"/>
      <c r="R11" s="11"/>
    </row>
    <row r="12" spans="1:18" s="8" customFormat="1" ht="15">
      <c r="A12" s="11"/>
      <c r="B12" s="140" t="s">
        <v>655</v>
      </c>
      <c r="C12" s="142">
        <f>SUM(F65:F86,F101:F102)</f>
        <v>1501.5</v>
      </c>
      <c r="D12" s="133" t="s">
        <v>648</v>
      </c>
      <c r="E12" s="143"/>
      <c r="G12" s="113"/>
      <c r="H12" s="136"/>
      <c r="I12" s="116"/>
      <c r="J12" s="133"/>
      <c r="L12" s="118" t="s">
        <v>656</v>
      </c>
      <c r="M12" s="141">
        <f>M10-M11</f>
        <v>0</v>
      </c>
      <c r="N12" s="118"/>
      <c r="O12" s="117"/>
      <c r="Q12" s="11"/>
      <c r="R12" s="11"/>
    </row>
    <row r="13" spans="1:18" s="8" customFormat="1" ht="15">
      <c r="A13" s="11"/>
      <c r="B13"/>
      <c r="C13"/>
      <c r="D13"/>
      <c r="E13" s="143"/>
      <c r="G13" s="113"/>
      <c r="H13" s="136"/>
      <c r="I13" s="116"/>
      <c r="J13" s="133"/>
      <c r="L13" s="118"/>
      <c r="M13" s="141"/>
      <c r="N13" s="118"/>
      <c r="O13" s="117"/>
      <c r="Q13" s="11"/>
      <c r="R13" s="11"/>
    </row>
    <row r="14" spans="1:22" s="8" customFormat="1" ht="15">
      <c r="A14" s="11"/>
      <c r="F14" s="11"/>
      <c r="H14" s="144"/>
      <c r="I14" s="139"/>
      <c r="K14" s="117"/>
      <c r="L14" s="145" t="s">
        <v>657</v>
      </c>
      <c r="M14" s="132">
        <v>43424</v>
      </c>
      <c r="N14" s="118"/>
      <c r="O14" s="132"/>
      <c r="P14" s="132"/>
      <c r="Q14" s="11"/>
      <c r="R14" s="11"/>
      <c r="V14" s="11"/>
    </row>
    <row r="15" spans="1:22" s="8" customFormat="1" ht="15.75">
      <c r="A15" s="11"/>
      <c r="B15" s="6" t="s">
        <v>658</v>
      </c>
      <c r="C15" s="116">
        <f>Ballast!B14</f>
        <v>49972.77766536957</v>
      </c>
      <c r="D15" s="8" t="s">
        <v>659</v>
      </c>
      <c r="E15" s="146" t="s">
        <v>656</v>
      </c>
      <c r="F15" s="147" t="s">
        <v>660</v>
      </c>
      <c r="G15" s="143"/>
      <c r="H15" s="148"/>
      <c r="I15" s="149"/>
      <c r="J15" s="150"/>
      <c r="K15" s="117"/>
      <c r="L15" s="145" t="s">
        <v>661</v>
      </c>
      <c r="M15" s="132">
        <f>M14+M6</f>
        <v>50845</v>
      </c>
      <c r="N15" s="118"/>
      <c r="O15" s="132"/>
      <c r="P15" s="132"/>
      <c r="Q15" s="11"/>
      <c r="R15" s="11"/>
      <c r="V15" s="11"/>
    </row>
    <row r="16" spans="1:22" s="8" customFormat="1" ht="15">
      <c r="A16" s="11"/>
      <c r="B16" s="6" t="s">
        <v>662</v>
      </c>
      <c r="C16" s="151">
        <f>K53</f>
        <v>50266.475795699494</v>
      </c>
      <c r="D16" s="133" t="s">
        <v>659</v>
      </c>
      <c r="E16" s="152">
        <f>Displaced_Volume-C15</f>
        <v>293.69813032992533</v>
      </c>
      <c r="F16" s="133"/>
      <c r="G16" s="143"/>
      <c r="H16" s="148"/>
      <c r="I16" s="149"/>
      <c r="J16" s="150"/>
      <c r="K16" s="117"/>
      <c r="L16" s="145"/>
      <c r="M16" s="132">
        <f>M15-Total_Weight_In_Air</f>
        <v>-804.0999999999913</v>
      </c>
      <c r="N16" s="118"/>
      <c r="O16" s="132"/>
      <c r="P16" s="132"/>
      <c r="Q16" s="11"/>
      <c r="R16" s="11"/>
      <c r="V16" s="11"/>
    </row>
    <row r="17" spans="1:22" s="8" customFormat="1" ht="15">
      <c r="A17" s="11"/>
      <c r="B17" s="6"/>
      <c r="C17" s="148"/>
      <c r="D17" s="112"/>
      <c r="E17" s="114"/>
      <c r="F17" s="11"/>
      <c r="G17" s="143"/>
      <c r="H17" s="148"/>
      <c r="I17" s="149"/>
      <c r="J17" s="150"/>
      <c r="K17" s="117"/>
      <c r="L17" s="145"/>
      <c r="M17" s="132"/>
      <c r="N17" s="118"/>
      <c r="O17" s="132"/>
      <c r="P17" s="132"/>
      <c r="Q17" s="11"/>
      <c r="R17" s="11"/>
      <c r="V17" s="11"/>
    </row>
    <row r="18" spans="1:22" s="8" customFormat="1" ht="15">
      <c r="A18" s="11"/>
      <c r="B18" s="153" t="s">
        <v>663</v>
      </c>
      <c r="C18" s="154">
        <v>1.0275</v>
      </c>
      <c r="D18" s="126" t="s">
        <v>664</v>
      </c>
      <c r="E18" s="114"/>
      <c r="F18" s="11"/>
      <c r="G18" s="143"/>
      <c r="J18" s="117"/>
      <c r="K18" s="117"/>
      <c r="L18" s="145"/>
      <c r="M18" s="132"/>
      <c r="N18" s="118"/>
      <c r="O18" s="132"/>
      <c r="P18" s="132"/>
      <c r="Q18" s="11"/>
      <c r="R18" s="11"/>
      <c r="V18" s="11"/>
    </row>
    <row r="19" spans="1:22" s="8" customFormat="1" ht="15.75">
      <c r="A19" s="11"/>
      <c r="B19" s="6" t="s">
        <v>665</v>
      </c>
      <c r="C19" s="116">
        <f>Displaced_Volume*rho_2-Total_Weight_In_Air</f>
        <v>-0.2961199187557213</v>
      </c>
      <c r="D19" s="8" t="s">
        <v>659</v>
      </c>
      <c r="F19" s="147" t="s">
        <v>666</v>
      </c>
      <c r="G19" s="143"/>
      <c r="H19" s="136"/>
      <c r="I19" s="116"/>
      <c r="J19" s="155"/>
      <c r="K19" s="117"/>
      <c r="L19" s="145"/>
      <c r="M19" s="132"/>
      <c r="N19" s="118"/>
      <c r="O19" s="132"/>
      <c r="P19" s="132"/>
      <c r="Q19" s="11"/>
      <c r="R19" s="11"/>
      <c r="V19" s="11"/>
    </row>
    <row r="20" spans="2:27" s="121" customFormat="1" ht="15.75">
      <c r="B20" s="156" t="s">
        <v>667</v>
      </c>
      <c r="C20" s="157">
        <v>0.677</v>
      </c>
      <c r="D20" s="117"/>
      <c r="E20" s="158">
        <f>Cal!C42+C20*(Cal!C43-Cal!C42)</f>
        <v>2822.159</v>
      </c>
      <c r="F20" s="159" t="s">
        <v>668</v>
      </c>
      <c r="G20" s="159" t="s">
        <v>669</v>
      </c>
      <c r="J20" s="160"/>
      <c r="K20" s="161"/>
      <c r="L20" s="162"/>
      <c r="M20" s="117"/>
      <c r="N20" s="161"/>
      <c r="O20" s="162"/>
      <c r="P20" s="117"/>
      <c r="Q20" s="140"/>
      <c r="R20" s="118"/>
      <c r="S20" s="8"/>
      <c r="T20" s="8"/>
      <c r="U20" s="8"/>
      <c r="W20" s="8"/>
      <c r="X20" s="8"/>
      <c r="Y20" s="8"/>
      <c r="Z20" s="8"/>
      <c r="AA20" s="8"/>
    </row>
    <row r="21" spans="2:27" s="121" customFormat="1" ht="15.75">
      <c r="B21" s="163"/>
      <c r="C21" s="164"/>
      <c r="D21" s="117"/>
      <c r="E21" s="117"/>
      <c r="F21" s="118"/>
      <c r="G21"/>
      <c r="H21"/>
      <c r="I21"/>
      <c r="J21" s="160"/>
      <c r="K21" s="161"/>
      <c r="L21" s="162"/>
      <c r="M21" s="117"/>
      <c r="N21" s="161"/>
      <c r="O21" s="162"/>
      <c r="P21" s="117"/>
      <c r="Q21" s="140"/>
      <c r="R21" s="118"/>
      <c r="S21" s="8"/>
      <c r="T21" s="8"/>
      <c r="U21" s="8"/>
      <c r="W21" s="8"/>
      <c r="X21" s="8"/>
      <c r="Y21" s="8"/>
      <c r="Z21" s="8"/>
      <c r="AA21" s="8"/>
    </row>
    <row r="22" spans="2:27" s="121" customFormat="1" ht="15.75">
      <c r="B22" s="163"/>
      <c r="C22" s="164"/>
      <c r="D22" s="117"/>
      <c r="E22" s="117"/>
      <c r="G22" s="12" t="s">
        <v>670</v>
      </c>
      <c r="H22" s="20">
        <v>0.00167</v>
      </c>
      <c r="I22" s="165" t="s">
        <v>671</v>
      </c>
      <c r="J22" s="160"/>
      <c r="K22" s="161"/>
      <c r="L22" s="162"/>
      <c r="M22" s="117"/>
      <c r="N22" s="161"/>
      <c r="O22" s="162"/>
      <c r="P22" s="117"/>
      <c r="Q22" s="140"/>
      <c r="R22" s="118"/>
      <c r="S22" s="8"/>
      <c r="T22" s="8"/>
      <c r="U22" s="8"/>
      <c r="W22" s="8"/>
      <c r="X22" s="8"/>
      <c r="Y22" s="8"/>
      <c r="Z22" s="8"/>
      <c r="AA22" s="8"/>
    </row>
    <row r="23" spans="2:27" s="121" customFormat="1" ht="15.75">
      <c r="B23" s="166" t="s">
        <v>672</v>
      </c>
      <c r="C23" s="164"/>
      <c r="D23" s="117"/>
      <c r="E23" s="117"/>
      <c r="F23" s="118"/>
      <c r="G23" s="167"/>
      <c r="H23" s="168"/>
      <c r="L23" s="162"/>
      <c r="M23" s="117"/>
      <c r="N23" s="161"/>
      <c r="O23" s="162"/>
      <c r="P23" s="117"/>
      <c r="Q23" s="140"/>
      <c r="R23" s="118"/>
      <c r="S23" s="8"/>
      <c r="T23" s="8"/>
      <c r="U23" s="8"/>
      <c r="W23" s="8"/>
      <c r="X23" s="8"/>
      <c r="Y23" s="8"/>
      <c r="Z23" s="8"/>
      <c r="AA23" s="8"/>
    </row>
    <row r="24" spans="1:22" s="8" customFormat="1" ht="15">
      <c r="A24" s="11"/>
      <c r="B24" s="6" t="s">
        <v>673</v>
      </c>
      <c r="C24" s="169">
        <f>Total_Moment_LCG/Total_Weight</f>
        <v>89.50835378847242</v>
      </c>
      <c r="D24" s="11" t="s">
        <v>674</v>
      </c>
      <c r="E24" s="170">
        <f>C24/2.54</f>
        <v>35.23950936554032</v>
      </c>
      <c r="F24" s="133" t="s">
        <v>675</v>
      </c>
      <c r="M24" s="117"/>
      <c r="N24" s="117"/>
      <c r="O24" s="117"/>
      <c r="P24" s="117"/>
      <c r="R24" s="11"/>
      <c r="V24" s="11"/>
    </row>
    <row r="25" spans="1:22" s="8" customFormat="1" ht="15">
      <c r="A25" s="11"/>
      <c r="B25" s="6" t="s">
        <v>676</v>
      </c>
      <c r="C25" s="171">
        <f>Total_Moment_LCB/Displaced_Volume</f>
        <v>89.50949149154386</v>
      </c>
      <c r="D25" s="11" t="s">
        <v>674</v>
      </c>
      <c r="E25" s="170">
        <f>C25/2.54</f>
        <v>35.23995728013538</v>
      </c>
      <c r="F25" s="172" t="s">
        <v>675</v>
      </c>
      <c r="G25" s="169"/>
      <c r="J25" s="117"/>
      <c r="O25" s="117"/>
      <c r="R25" s="11"/>
      <c r="V25" s="11"/>
    </row>
    <row r="26" spans="1:22" s="8" customFormat="1" ht="15">
      <c r="A26" s="11"/>
      <c r="B26" s="6" t="s">
        <v>677</v>
      </c>
      <c r="C26" s="169">
        <f>C24-C25</f>
        <v>-0.0011377030714356806</v>
      </c>
      <c r="D26" s="11" t="s">
        <v>674</v>
      </c>
      <c r="F26" s="11"/>
      <c r="J26" s="117"/>
      <c r="O26" s="117"/>
      <c r="R26" s="11"/>
      <c r="V26" s="11"/>
    </row>
    <row r="27" spans="1:22" s="8" customFormat="1" ht="15">
      <c r="A27" s="11"/>
      <c r="B27" s="156" t="s">
        <v>678</v>
      </c>
      <c r="C27" s="157">
        <v>0.721</v>
      </c>
      <c r="D27" s="163"/>
      <c r="E27" s="158">
        <f>Cal!C12+stroke_2*(Cal!C13-Cal!C12)</f>
        <v>2850.656</v>
      </c>
      <c r="F27" s="159" t="s">
        <v>668</v>
      </c>
      <c r="G27" s="159" t="s">
        <v>669</v>
      </c>
      <c r="J27" s="173"/>
      <c r="K27" s="174"/>
      <c r="O27" s="117"/>
      <c r="R27" s="11"/>
      <c r="V27" s="11"/>
    </row>
    <row r="28" spans="1:22" s="8" customFormat="1" ht="15">
      <c r="A28" s="11"/>
      <c r="B28" s="156" t="s">
        <v>679</v>
      </c>
      <c r="C28" s="175">
        <f>stroke_2*12.8</f>
        <v>9.2288</v>
      </c>
      <c r="D28" s="163" t="s">
        <v>674</v>
      </c>
      <c r="J28" s="175"/>
      <c r="O28" s="117"/>
      <c r="R28" s="11"/>
      <c r="V28" s="11"/>
    </row>
    <row r="29" spans="1:22" s="8" customFormat="1" ht="15">
      <c r="A29" s="11"/>
      <c r="B29" s="156" t="s">
        <v>680</v>
      </c>
      <c r="C29" s="176">
        <f>DEGREES(ATAN(C26/C33))</f>
        <v>-0.118199635142945</v>
      </c>
      <c r="D29" s="163" t="s">
        <v>681</v>
      </c>
      <c r="E29" s="159" t="s">
        <v>556</v>
      </c>
      <c r="F29" s="118"/>
      <c r="G29" s="156"/>
      <c r="H29" s="177"/>
      <c r="I29" s="159"/>
      <c r="J29" s="175"/>
      <c r="O29" s="117"/>
      <c r="R29" s="11"/>
      <c r="V29" s="11"/>
    </row>
    <row r="30" spans="1:22" s="8" customFormat="1" ht="15">
      <c r="A30" s="11"/>
      <c r="F30" s="118"/>
      <c r="G30" s="156"/>
      <c r="H30" s="177"/>
      <c r="I30" s="159"/>
      <c r="J30" s="175"/>
      <c r="O30" s="117"/>
      <c r="R30" s="11"/>
      <c r="V30" s="11"/>
    </row>
    <row r="31" spans="1:22" s="8" customFormat="1" ht="15">
      <c r="A31" s="11"/>
      <c r="B31" s="140" t="s">
        <v>557</v>
      </c>
      <c r="C31" s="178">
        <f>Tot_mom_VCG/Total_Weight_In_Air</f>
        <v>-0.49235970973356763</v>
      </c>
      <c r="D31" s="118" t="s">
        <v>674</v>
      </c>
      <c r="E31" s="117" t="s">
        <v>558</v>
      </c>
      <c r="F31" s="117"/>
      <c r="G31" s="117"/>
      <c r="H31" s="118"/>
      <c r="I31" s="117"/>
      <c r="J31" s="117"/>
      <c r="K31" s="117"/>
      <c r="L31" s="179"/>
      <c r="M31" s="141"/>
      <c r="N31" s="117"/>
      <c r="O31" s="117"/>
      <c r="P31" s="140"/>
      <c r="Q31" s="118"/>
      <c r="R31" s="118"/>
      <c r="S31" s="140"/>
      <c r="T31" s="118"/>
      <c r="V31" s="11"/>
    </row>
    <row r="32" spans="1:22" s="181" customFormat="1" ht="15">
      <c r="A32" s="180"/>
      <c r="B32" s="140" t="s">
        <v>559</v>
      </c>
      <c r="C32" s="178">
        <f>Tot_mom_VCB/Displaced_Volume</f>
        <v>0.05912669527921094</v>
      </c>
      <c r="D32" s="118" t="s">
        <v>674</v>
      </c>
      <c r="E32" s="160" t="s">
        <v>560</v>
      </c>
      <c r="G32" s="117"/>
      <c r="H32" s="182"/>
      <c r="I32" s="160"/>
      <c r="J32" s="160"/>
      <c r="K32" s="117"/>
      <c r="L32" s="140"/>
      <c r="M32" s="183"/>
      <c r="N32" s="160"/>
      <c r="O32" s="117"/>
      <c r="P32" s="140"/>
      <c r="Q32" s="184"/>
      <c r="R32" s="118"/>
      <c r="S32" s="140"/>
      <c r="T32" s="185"/>
      <c r="V32" s="180"/>
    </row>
    <row r="33" spans="1:22" s="181" customFormat="1" ht="15">
      <c r="A33" s="180"/>
      <c r="B33" s="140" t="s">
        <v>561</v>
      </c>
      <c r="C33" s="178">
        <f>C32-C31</f>
        <v>0.5514864050127786</v>
      </c>
      <c r="D33" s="118" t="s">
        <v>674</v>
      </c>
      <c r="E33" s="155" t="s">
        <v>562</v>
      </c>
      <c r="G33" s="117"/>
      <c r="H33" s="118"/>
      <c r="J33" s="117"/>
      <c r="K33" s="117"/>
      <c r="L33" s="140"/>
      <c r="M33" s="141"/>
      <c r="N33" s="160"/>
      <c r="O33" s="117"/>
      <c r="P33" s="140"/>
      <c r="Q33" s="141"/>
      <c r="R33" s="118"/>
      <c r="S33" s="140"/>
      <c r="T33" s="186"/>
      <c r="V33" s="180"/>
    </row>
    <row r="34" spans="1:22" s="181" customFormat="1" ht="15">
      <c r="A34" s="180"/>
      <c r="B34" s="156" t="s">
        <v>563</v>
      </c>
      <c r="C34" s="131">
        <v>0</v>
      </c>
      <c r="D34" s="163" t="s">
        <v>681</v>
      </c>
      <c r="E34" s="160"/>
      <c r="F34" s="118"/>
      <c r="G34" s="117"/>
      <c r="H34" s="160"/>
      <c r="I34" s="160"/>
      <c r="J34" s="160"/>
      <c r="K34" s="187"/>
      <c r="L34" s="160"/>
      <c r="M34" s="118"/>
      <c r="N34" s="117"/>
      <c r="O34" s="117"/>
      <c r="P34" s="162"/>
      <c r="Q34" s="188"/>
      <c r="R34" s="163"/>
      <c r="S34" s="160"/>
      <c r="T34" s="160"/>
      <c r="V34" s="180"/>
    </row>
    <row r="35" spans="1:22" s="181" customFormat="1" ht="15">
      <c r="A35" s="180"/>
      <c r="B35" s="140" t="s">
        <v>693</v>
      </c>
      <c r="C35" s="132" t="e">
        <f>NA()</f>
        <v>#N/A</v>
      </c>
      <c r="D35" s="163" t="s">
        <v>681</v>
      </c>
      <c r="E35" s="160" t="s">
        <v>694</v>
      </c>
      <c r="F35" s="118"/>
      <c r="G35" s="117"/>
      <c r="H35" s="140"/>
      <c r="J35" s="163"/>
      <c r="K35" s="187"/>
      <c r="L35" s="160"/>
      <c r="M35" s="118"/>
      <c r="N35" s="117"/>
      <c r="O35" s="117"/>
      <c r="P35" s="162"/>
      <c r="Q35" s="188"/>
      <c r="R35" s="163"/>
      <c r="S35" s="160"/>
      <c r="T35" s="160"/>
      <c r="V35" s="180"/>
    </row>
    <row r="36" spans="1:22" s="181" customFormat="1" ht="15">
      <c r="A36" s="189"/>
      <c r="B36" s="189"/>
      <c r="C36" s="190"/>
      <c r="D36" s="189"/>
      <c r="E36" s="191"/>
      <c r="F36" s="189"/>
      <c r="G36" s="191"/>
      <c r="H36" s="191"/>
      <c r="I36" s="192"/>
      <c r="J36" s="193"/>
      <c r="K36" s="189"/>
      <c r="L36" s="194"/>
      <c r="M36" s="190"/>
      <c r="N36" s="195"/>
      <c r="O36" s="191"/>
      <c r="P36" s="196"/>
      <c r="Q36" s="197"/>
      <c r="R36" s="189"/>
      <c r="V36" s="180"/>
    </row>
    <row r="37" spans="2:27" s="121" customFormat="1" ht="16.5" customHeight="1">
      <c r="B37" s="8"/>
      <c r="C37" s="11"/>
      <c r="D37" s="198"/>
      <c r="E37" s="8"/>
      <c r="F37" s="121" t="s">
        <v>695</v>
      </c>
      <c r="H37" s="8"/>
      <c r="I37" s="121" t="s">
        <v>696</v>
      </c>
      <c r="J37" s="199"/>
      <c r="K37" s="8"/>
      <c r="L37" s="8"/>
      <c r="M37" s="8"/>
      <c r="N37" s="121" t="s">
        <v>696</v>
      </c>
      <c r="O37" s="200"/>
      <c r="P37" s="8"/>
      <c r="Q37" s="121" t="s">
        <v>696</v>
      </c>
      <c r="R37" s="121" t="s">
        <v>696</v>
      </c>
      <c r="S37" s="8"/>
      <c r="T37" s="8"/>
      <c r="U37" s="8"/>
      <c r="W37" s="8"/>
      <c r="X37" s="8"/>
      <c r="Y37" s="8"/>
      <c r="Z37" s="8"/>
      <c r="AA37" s="8"/>
    </row>
    <row r="38" spans="1:27" s="121" customFormat="1" ht="16.5" customHeight="1">
      <c r="A38" s="121" t="s">
        <v>697</v>
      </c>
      <c r="C38" s="121" t="s">
        <v>698</v>
      </c>
      <c r="D38" s="201" t="s">
        <v>699</v>
      </c>
      <c r="E38" s="202" t="s">
        <v>700</v>
      </c>
      <c r="F38" s="203" t="s">
        <v>700</v>
      </c>
      <c r="G38" s="204" t="s">
        <v>701</v>
      </c>
      <c r="H38" s="121" t="s">
        <v>701</v>
      </c>
      <c r="I38" s="121" t="s">
        <v>701</v>
      </c>
      <c r="J38" s="205" t="s">
        <v>702</v>
      </c>
      <c r="K38" s="121" t="s">
        <v>703</v>
      </c>
      <c r="L38" s="204" t="s">
        <v>704</v>
      </c>
      <c r="M38" s="121" t="s">
        <v>704</v>
      </c>
      <c r="N38" s="121" t="s">
        <v>704</v>
      </c>
      <c r="O38" s="206" t="s">
        <v>572</v>
      </c>
      <c r="P38" s="121" t="s">
        <v>572</v>
      </c>
      <c r="Q38" s="121" t="s">
        <v>573</v>
      </c>
      <c r="R38" s="121" t="s">
        <v>574</v>
      </c>
      <c r="S38" s="8"/>
      <c r="T38" s="8"/>
      <c r="U38" s="8"/>
      <c r="W38" s="8"/>
      <c r="X38" s="8"/>
      <c r="Y38" s="8"/>
      <c r="Z38" s="8"/>
      <c r="AA38" s="8"/>
    </row>
    <row r="39" spans="1:28" s="133" customFormat="1" ht="16.5" customHeight="1">
      <c r="A39" s="207" t="s">
        <v>575</v>
      </c>
      <c r="B39" s="208" t="s">
        <v>576</v>
      </c>
      <c r="C39" s="208" t="s">
        <v>577</v>
      </c>
      <c r="D39" s="209"/>
      <c r="E39" s="210" t="s">
        <v>578</v>
      </c>
      <c r="F39" s="208" t="s">
        <v>578</v>
      </c>
      <c r="G39" s="211" t="s">
        <v>579</v>
      </c>
      <c r="H39" s="208" t="s">
        <v>674</v>
      </c>
      <c r="I39" s="208" t="s">
        <v>580</v>
      </c>
      <c r="J39" s="212" t="s">
        <v>659</v>
      </c>
      <c r="K39" s="208" t="s">
        <v>659</v>
      </c>
      <c r="L39" s="211" t="s">
        <v>579</v>
      </c>
      <c r="M39" s="208" t="s">
        <v>674</v>
      </c>
      <c r="N39" s="208" t="s">
        <v>581</v>
      </c>
      <c r="O39" s="213" t="s">
        <v>579</v>
      </c>
      <c r="P39" s="208" t="s">
        <v>674</v>
      </c>
      <c r="Q39" s="208" t="s">
        <v>580</v>
      </c>
      <c r="R39" s="208" t="s">
        <v>581</v>
      </c>
      <c r="S39" s="8"/>
      <c r="U39" s="8"/>
      <c r="V39" s="116"/>
      <c r="W39" s="8"/>
      <c r="X39" s="8"/>
      <c r="Y39" s="8"/>
      <c r="Z39" s="8"/>
      <c r="AA39" s="8"/>
      <c r="AB39" s="8"/>
    </row>
    <row r="40" spans="1:28" s="133" customFormat="1" ht="16.5" customHeight="1">
      <c r="A40" s="11"/>
      <c r="B40" s="203"/>
      <c r="C40" s="203"/>
      <c r="D40" s="201"/>
      <c r="E40" s="214"/>
      <c r="F40" s="203"/>
      <c r="G40" s="215"/>
      <c r="H40" s="203"/>
      <c r="I40" s="203"/>
      <c r="J40" s="205"/>
      <c r="K40" s="203"/>
      <c r="L40" s="215"/>
      <c r="M40" s="203"/>
      <c r="N40" s="203"/>
      <c r="O40" s="206"/>
      <c r="P40" s="203"/>
      <c r="Q40" s="203"/>
      <c r="R40" s="203"/>
      <c r="S40" s="8"/>
      <c r="U40" s="8"/>
      <c r="V40" s="116"/>
      <c r="W40" s="8"/>
      <c r="X40" s="8"/>
      <c r="Y40" s="8"/>
      <c r="Z40" s="8"/>
      <c r="AA40" s="8"/>
      <c r="AB40" s="8"/>
    </row>
    <row r="41" spans="1:28" s="147" customFormat="1" ht="16.5" customHeight="1">
      <c r="A41" s="121"/>
      <c r="B41" s="6" t="s">
        <v>582</v>
      </c>
      <c r="D41" s="201"/>
      <c r="E41" s="216"/>
      <c r="F41" s="217"/>
      <c r="G41" s="204"/>
      <c r="H41" s="121"/>
      <c r="J41" s="205"/>
      <c r="K41" s="121"/>
      <c r="L41" s="204"/>
      <c r="M41" s="121"/>
      <c r="O41" s="206"/>
      <c r="P41" s="121"/>
      <c r="R41" s="121"/>
      <c r="S41" s="218"/>
      <c r="U41" s="218"/>
      <c r="V41" s="219"/>
      <c r="W41" s="218"/>
      <c r="X41" s="218"/>
      <c r="Y41" s="218"/>
      <c r="Z41" s="218"/>
      <c r="AA41" s="218"/>
      <c r="AB41" s="218"/>
    </row>
    <row r="42" spans="1:28" s="147" customFormat="1" ht="16.5" customHeight="1">
      <c r="A42" s="121"/>
      <c r="B42" s="6" t="s">
        <v>583</v>
      </c>
      <c r="C42" s="217">
        <f>C60+C90</f>
        <v>12021.6</v>
      </c>
      <c r="D42" s="220" t="s">
        <v>648</v>
      </c>
      <c r="E42" s="221" t="s">
        <v>656</v>
      </c>
      <c r="F42" s="222"/>
      <c r="G42" s="204"/>
      <c r="H42" s="121"/>
      <c r="J42" s="205"/>
      <c r="K42" s="121"/>
      <c r="L42" s="204"/>
      <c r="M42" s="121"/>
      <c r="O42" s="206"/>
      <c r="P42" s="121"/>
      <c r="R42" s="121"/>
      <c r="S42" s="218"/>
      <c r="U42" s="218"/>
      <c r="V42" s="219"/>
      <c r="W42" s="218"/>
      <c r="X42" s="218"/>
      <c r="Y42" s="218"/>
      <c r="Z42" s="218"/>
      <c r="AA42" s="218"/>
      <c r="AB42" s="218"/>
    </row>
    <row r="43" spans="1:28" s="147" customFormat="1" ht="16.5" customHeight="1">
      <c r="A43" s="121"/>
      <c r="B43" s="153" t="s">
        <v>584</v>
      </c>
      <c r="C43" s="217">
        <f>C61+C91</f>
        <v>12012</v>
      </c>
      <c r="D43" s="220" t="s">
        <v>648</v>
      </c>
      <c r="E43" s="223">
        <f>C43-C42</f>
        <v>-9.600000000000364</v>
      </c>
      <c r="F43" s="222"/>
      <c r="G43" s="204"/>
      <c r="H43" s="121"/>
      <c r="J43" s="205"/>
      <c r="K43" s="121"/>
      <c r="L43" s="204"/>
      <c r="M43" s="121"/>
      <c r="O43" s="206"/>
      <c r="P43" s="121"/>
      <c r="R43" s="121"/>
      <c r="S43" s="218"/>
      <c r="U43" s="218"/>
      <c r="V43" s="219"/>
      <c r="W43" s="218"/>
      <c r="X43" s="218"/>
      <c r="Y43" s="218"/>
      <c r="Z43" s="218"/>
      <c r="AA43" s="218"/>
      <c r="AB43" s="218"/>
    </row>
    <row r="44" spans="1:27" s="133" customFormat="1" ht="16.5" customHeight="1">
      <c r="A44" s="11"/>
      <c r="B44" s="6" t="s">
        <v>585</v>
      </c>
      <c r="C44" s="217">
        <f>SUM(K62:K138)</f>
        <v>7484.690549767558</v>
      </c>
      <c r="D44" s="199" t="s">
        <v>659</v>
      </c>
      <c r="G44" s="113"/>
      <c r="H44" s="8"/>
      <c r="I44" s="11"/>
      <c r="J44" s="224"/>
      <c r="K44" s="116"/>
      <c r="L44" s="143"/>
      <c r="M44" s="8"/>
      <c r="N44" s="116"/>
      <c r="O44" s="225"/>
      <c r="P44" s="116"/>
      <c r="Q44" s="116"/>
      <c r="R44" s="116"/>
      <c r="S44" s="8"/>
      <c r="T44" s="8"/>
      <c r="U44" s="8"/>
      <c r="V44" s="116"/>
      <c r="W44" s="8"/>
      <c r="X44" s="8"/>
      <c r="Y44" s="8"/>
      <c r="Z44" s="8"/>
      <c r="AA44" s="8"/>
    </row>
    <row r="45" spans="1:27" s="133" customFormat="1" ht="16.5" customHeight="1">
      <c r="A45" s="11"/>
      <c r="B45" s="147"/>
      <c r="C45" s="217"/>
      <c r="D45" s="199"/>
      <c r="E45" s="226" t="s">
        <v>586</v>
      </c>
      <c r="F45" s="227">
        <f>E43+E48</f>
        <v>124.49999999999818</v>
      </c>
      <c r="G45" s="113"/>
      <c r="H45" s="8"/>
      <c r="I45" s="11"/>
      <c r="J45" s="224"/>
      <c r="K45" s="116"/>
      <c r="L45" s="143"/>
      <c r="M45" s="8"/>
      <c r="N45" s="116"/>
      <c r="O45" s="225"/>
      <c r="P45" s="116"/>
      <c r="Q45" s="116"/>
      <c r="R45" s="116"/>
      <c r="S45" s="8"/>
      <c r="T45" s="8"/>
      <c r="U45" s="8"/>
      <c r="V45" s="116"/>
      <c r="W45" s="8"/>
      <c r="X45" s="8"/>
      <c r="Y45" s="8"/>
      <c r="Z45" s="8"/>
      <c r="AA45" s="8"/>
    </row>
    <row r="46" spans="1:27" s="133" customFormat="1" ht="16.5" customHeight="1">
      <c r="A46" s="11"/>
      <c r="B46" s="6" t="s">
        <v>587</v>
      </c>
      <c r="C46" s="147"/>
      <c r="D46" s="201"/>
      <c r="E46" s="216"/>
      <c r="G46" s="113"/>
      <c r="H46" s="8"/>
      <c r="I46" s="11"/>
      <c r="J46" s="224"/>
      <c r="K46" s="116"/>
      <c r="L46" s="143"/>
      <c r="M46" s="8"/>
      <c r="N46" s="116"/>
      <c r="O46" s="225"/>
      <c r="P46" s="116"/>
      <c r="Q46" s="116"/>
      <c r="R46" s="116"/>
      <c r="S46" s="8"/>
      <c r="T46" s="8"/>
      <c r="U46" s="8"/>
      <c r="V46" s="116"/>
      <c r="W46" s="8"/>
      <c r="X46" s="8"/>
      <c r="Y46" s="8"/>
      <c r="Z46" s="8"/>
      <c r="AA46" s="8"/>
    </row>
    <row r="47" spans="1:27" s="133" customFormat="1" ht="16.5" customHeight="1">
      <c r="A47" s="11"/>
      <c r="B47" s="6" t="s">
        <v>583</v>
      </c>
      <c r="C47" s="217">
        <f>C142</f>
        <v>38661.9</v>
      </c>
      <c r="D47" s="220" t="s">
        <v>648</v>
      </c>
      <c r="E47" s="221" t="s">
        <v>656</v>
      </c>
      <c r="G47" s="113"/>
      <c r="H47" s="8"/>
      <c r="I47" s="11"/>
      <c r="J47" s="224"/>
      <c r="K47" s="116"/>
      <c r="L47" s="143"/>
      <c r="M47" s="8"/>
      <c r="N47" s="116"/>
      <c r="O47" s="225"/>
      <c r="P47" s="116"/>
      <c r="Q47" s="116"/>
      <c r="R47" s="116"/>
      <c r="S47" s="8"/>
      <c r="T47" s="8"/>
      <c r="U47" s="8"/>
      <c r="V47" s="116"/>
      <c r="W47" s="8"/>
      <c r="X47" s="8"/>
      <c r="Y47" s="8"/>
      <c r="Z47" s="8"/>
      <c r="AA47" s="8"/>
    </row>
    <row r="48" spans="1:27" s="133" customFormat="1" ht="16.5" customHeight="1">
      <c r="A48" s="11"/>
      <c r="B48" s="153" t="s">
        <v>584</v>
      </c>
      <c r="C48" s="217">
        <f>C143</f>
        <v>38796</v>
      </c>
      <c r="D48" s="220" t="s">
        <v>648</v>
      </c>
      <c r="E48" s="223">
        <f>C48-C47</f>
        <v>134.09999999999854</v>
      </c>
      <c r="G48" s="113"/>
      <c r="H48" s="8"/>
      <c r="I48" s="11"/>
      <c r="J48" s="224"/>
      <c r="K48" s="116"/>
      <c r="L48" s="143"/>
      <c r="M48" s="8"/>
      <c r="N48" s="116"/>
      <c r="O48" s="225"/>
      <c r="P48" s="116"/>
      <c r="Q48" s="116"/>
      <c r="R48" s="116"/>
      <c r="S48" s="8"/>
      <c r="T48" s="8"/>
      <c r="U48" s="8"/>
      <c r="V48" s="116"/>
      <c r="W48" s="8"/>
      <c r="X48" s="8"/>
      <c r="Y48" s="8"/>
      <c r="Z48" s="8"/>
      <c r="AA48" s="8"/>
    </row>
    <row r="49" spans="1:27" s="133" customFormat="1" ht="16.5" customHeight="1">
      <c r="A49" s="11"/>
      <c r="B49" s="6" t="s">
        <v>585</v>
      </c>
      <c r="C49" s="219">
        <f>SUM(K143:K334)+SUM(K56:K57)</f>
        <v>42781.78524593193</v>
      </c>
      <c r="D49" s="199" t="s">
        <v>659</v>
      </c>
      <c r="G49" s="113"/>
      <c r="H49" s="8"/>
      <c r="I49" s="11"/>
      <c r="J49" s="224"/>
      <c r="K49" s="116"/>
      <c r="L49" s="143"/>
      <c r="M49" s="8"/>
      <c r="N49" s="116"/>
      <c r="O49" s="225"/>
      <c r="P49" s="116"/>
      <c r="Q49" s="116"/>
      <c r="R49" s="116"/>
      <c r="S49" s="8"/>
      <c r="T49" s="8"/>
      <c r="U49" s="8"/>
      <c r="V49" s="116"/>
      <c r="W49" s="8"/>
      <c r="X49" s="8"/>
      <c r="Y49" s="8"/>
      <c r="Z49" s="8"/>
      <c r="AA49" s="8"/>
    </row>
    <row r="50" spans="1:27" s="133" customFormat="1" ht="16.5" customHeight="1">
      <c r="A50" s="11"/>
      <c r="B50" s="6"/>
      <c r="D50" s="199"/>
      <c r="E50" s="226"/>
      <c r="F50" s="227"/>
      <c r="G50" s="113"/>
      <c r="H50" s="8"/>
      <c r="I50" s="11"/>
      <c r="J50" s="224"/>
      <c r="K50" s="116"/>
      <c r="L50" s="143"/>
      <c r="M50" s="8"/>
      <c r="N50" s="116"/>
      <c r="O50" s="225"/>
      <c r="P50" s="116"/>
      <c r="Q50" s="116"/>
      <c r="R50" s="116"/>
      <c r="S50" s="8"/>
      <c r="T50" s="8"/>
      <c r="U50" s="8"/>
      <c r="V50" s="116"/>
      <c r="W50" s="8"/>
      <c r="X50" s="8"/>
      <c r="Y50" s="8"/>
      <c r="Z50" s="8"/>
      <c r="AA50" s="8"/>
    </row>
    <row r="51" spans="1:27" s="133" customFormat="1" ht="16.5" customHeight="1">
      <c r="A51" s="11"/>
      <c r="C51" s="6" t="s">
        <v>588</v>
      </c>
      <c r="D51" s="199"/>
      <c r="F51" s="228">
        <f>SUM(F55:F334)</f>
        <v>51525.19999999999</v>
      </c>
      <c r="G51" s="228"/>
      <c r="H51" s="228"/>
      <c r="I51" s="228">
        <f>SUM(I55:I334)</f>
        <v>4604048.475974847</v>
      </c>
      <c r="J51" s="228"/>
      <c r="K51" s="228">
        <f>SUM(K55:K334)</f>
        <v>50266.475795699494</v>
      </c>
      <c r="L51" s="228"/>
      <c r="M51" s="228"/>
      <c r="N51" s="228">
        <f>SUM(N55:N334)</f>
        <v>4499326.687545059</v>
      </c>
      <c r="O51" s="228"/>
      <c r="P51" s="228"/>
      <c r="Q51" s="228">
        <f>SUM(Q55:Q334)</f>
        <v>-25429.935884000002</v>
      </c>
      <c r="R51" s="228">
        <f>SUM(R55:R334)</f>
        <v>2972.0905971321563</v>
      </c>
      <c r="S51" s="8"/>
      <c r="T51" s="8"/>
      <c r="U51" s="8"/>
      <c r="V51" s="116"/>
      <c r="W51" s="8"/>
      <c r="X51" s="8"/>
      <c r="Y51" s="8"/>
      <c r="Z51" s="8"/>
      <c r="AA51" s="8"/>
    </row>
    <row r="52" spans="1:28" s="133" customFormat="1" ht="16.5" customHeight="1">
      <c r="A52" s="11"/>
      <c r="C52" s="229" t="s">
        <v>589</v>
      </c>
      <c r="D52" s="224"/>
      <c r="E52" s="230"/>
      <c r="F52" s="230">
        <v>123.9</v>
      </c>
      <c r="G52" s="230">
        <v>60.30212223898968</v>
      </c>
      <c r="H52" s="231">
        <f>G52*2.54</f>
        <v>153.1673904870338</v>
      </c>
      <c r="I52" s="151">
        <f>F52*H52</f>
        <v>18977.439681343487</v>
      </c>
      <c r="J52" s="232">
        <v>0</v>
      </c>
      <c r="K52" s="151">
        <f>J52*D52</f>
        <v>0</v>
      </c>
      <c r="L52" s="230">
        <v>0</v>
      </c>
      <c r="M52" s="231">
        <f>L52*2.54</f>
        <v>0</v>
      </c>
      <c r="N52" s="151">
        <f>K52*M52</f>
        <v>0</v>
      </c>
      <c r="O52" s="233">
        <v>0</v>
      </c>
      <c r="P52" s="231">
        <f>O52*2.54</f>
        <v>0</v>
      </c>
      <c r="Q52" s="151">
        <f>F52*P52</f>
        <v>0</v>
      </c>
      <c r="R52" s="231">
        <f>K52*P52</f>
        <v>0</v>
      </c>
      <c r="S52" s="8"/>
      <c r="U52" s="8"/>
      <c r="V52" s="116"/>
      <c r="W52" s="8"/>
      <c r="X52" s="8"/>
      <c r="Y52" s="8"/>
      <c r="Z52" s="8"/>
      <c r="AA52" s="8"/>
      <c r="AB52" s="8"/>
    </row>
    <row r="53" spans="1:27" s="133" customFormat="1" ht="16.5" customHeight="1">
      <c r="A53" s="11"/>
      <c r="C53" s="234" t="s">
        <v>590</v>
      </c>
      <c r="D53" s="199"/>
      <c r="F53" s="235">
        <f>SUM(F50:F52)</f>
        <v>51649.09999999999</v>
      </c>
      <c r="G53" s="235"/>
      <c r="H53" s="235"/>
      <c r="I53" s="235">
        <f>SUM(I51:I52)</f>
        <v>4623025.91565619</v>
      </c>
      <c r="J53" s="236"/>
      <c r="K53" s="235">
        <f>SUM(K51:K52)</f>
        <v>50266.475795699494</v>
      </c>
      <c r="L53" s="235"/>
      <c r="M53" s="235"/>
      <c r="N53" s="235">
        <f>SUM(N51:N52)</f>
        <v>4499326.687545059</v>
      </c>
      <c r="O53" s="236"/>
      <c r="P53" s="235"/>
      <c r="Q53" s="235">
        <f>SUM(Q51:Q52)</f>
        <v>-25429.935884000002</v>
      </c>
      <c r="R53" s="235">
        <f>SUM(R51:R52)</f>
        <v>2972.0905971321563</v>
      </c>
      <c r="S53" s="8"/>
      <c r="T53" s="8"/>
      <c r="U53" s="8"/>
      <c r="V53" s="116"/>
      <c r="W53" s="8"/>
      <c r="X53" s="8"/>
      <c r="Y53" s="8"/>
      <c r="Z53" s="8"/>
      <c r="AA53" s="8"/>
    </row>
    <row r="54" spans="1:27" s="133" customFormat="1" ht="16.5" customHeight="1">
      <c r="A54" s="195"/>
      <c r="B54" s="237"/>
      <c r="C54" s="238"/>
      <c r="D54" s="239"/>
      <c r="E54" s="240"/>
      <c r="F54" s="241"/>
      <c r="G54" s="242"/>
      <c r="H54" s="191"/>
      <c r="I54" s="195"/>
      <c r="J54" s="243"/>
      <c r="K54" s="244"/>
      <c r="L54" s="245"/>
      <c r="M54" s="191"/>
      <c r="N54" s="244"/>
      <c r="O54" s="246"/>
      <c r="P54" s="244"/>
      <c r="Q54" s="244"/>
      <c r="R54" s="244"/>
      <c r="S54" s="8"/>
      <c r="T54" s="8"/>
      <c r="U54" s="8"/>
      <c r="V54" s="116"/>
      <c r="W54" s="8"/>
      <c r="X54" s="8"/>
      <c r="Y54" s="8"/>
      <c r="Z54" s="8"/>
      <c r="AA54" s="8"/>
    </row>
    <row r="55" spans="1:27" s="133" customFormat="1" ht="24.75" customHeight="1">
      <c r="A55" s="121">
        <v>0</v>
      </c>
      <c r="B55" s="247" t="s">
        <v>591</v>
      </c>
      <c r="C55" s="248">
        <v>49801</v>
      </c>
      <c r="D55" s="199"/>
      <c r="E55" s="249"/>
      <c r="F55" s="250"/>
      <c r="G55" s="119"/>
      <c r="H55" s="117"/>
      <c r="I55" s="118"/>
      <c r="J55" s="224"/>
      <c r="K55" s="141"/>
      <c r="L55" s="145"/>
      <c r="M55" s="117"/>
      <c r="N55" s="141"/>
      <c r="O55" s="225"/>
      <c r="P55" s="141"/>
      <c r="Q55" s="141"/>
      <c r="R55" s="141"/>
      <c r="S55" s="8"/>
      <c r="T55" s="8"/>
      <c r="U55" s="8"/>
      <c r="V55" s="116"/>
      <c r="W55" s="8"/>
      <c r="X55" s="8"/>
      <c r="Y55" s="8"/>
      <c r="Z55" s="8"/>
      <c r="AA55" s="8"/>
    </row>
    <row r="56" spans="1:27" s="257" customFormat="1" ht="16.5" customHeight="1">
      <c r="A56" s="124">
        <v>1</v>
      </c>
      <c r="B56" s="126" t="s">
        <v>592</v>
      </c>
      <c r="C56" s="251">
        <v>55240</v>
      </c>
      <c r="D56" s="224">
        <v>1</v>
      </c>
      <c r="E56" s="230">
        <v>12.2</v>
      </c>
      <c r="F56" s="231">
        <f>E56*D56</f>
        <v>12.2</v>
      </c>
      <c r="G56" s="252">
        <v>46</v>
      </c>
      <c r="H56" s="231">
        <f>G56*2.54</f>
        <v>116.84</v>
      </c>
      <c r="I56" s="151">
        <f>F56*H56</f>
        <v>1425.4479999999999</v>
      </c>
      <c r="J56" s="253">
        <f>E56/SS_Density</f>
        <v>1.5198704372741996</v>
      </c>
      <c r="K56" s="151">
        <f>J56*D56</f>
        <v>1.5198704372741996</v>
      </c>
      <c r="L56" s="254">
        <f>G56</f>
        <v>46</v>
      </c>
      <c r="M56" s="231">
        <f>L56*2.54</f>
        <v>116.84</v>
      </c>
      <c r="N56" s="151">
        <f>K56*M56</f>
        <v>177.58166189111748</v>
      </c>
      <c r="O56" s="233">
        <v>0</v>
      </c>
      <c r="P56" s="231">
        <f>O56*2.54</f>
        <v>0</v>
      </c>
      <c r="Q56" s="151">
        <f>F56*P56</f>
        <v>0</v>
      </c>
      <c r="R56" s="231">
        <f>K56*P56</f>
        <v>0</v>
      </c>
      <c r="S56" s="255"/>
      <c r="T56" s="255"/>
      <c r="U56" s="255"/>
      <c r="V56" s="256"/>
      <c r="W56" s="255"/>
      <c r="X56" s="255"/>
      <c r="Y56" s="255"/>
      <c r="Z56" s="255"/>
      <c r="AA56" s="255"/>
    </row>
    <row r="57" spans="1:27" s="257" customFormat="1" ht="16.5" customHeight="1">
      <c r="A57" s="124">
        <v>1</v>
      </c>
      <c r="B57" s="126" t="s">
        <v>593</v>
      </c>
      <c r="C57" s="251">
        <v>55294</v>
      </c>
      <c r="D57" s="224">
        <v>1</v>
      </c>
      <c r="E57" s="230">
        <v>27.3</v>
      </c>
      <c r="F57" s="231">
        <f>E57*D57</f>
        <v>27.3</v>
      </c>
      <c r="G57" s="252">
        <v>49.5</v>
      </c>
      <c r="H57" s="231">
        <f>G57*2.54</f>
        <v>125.73</v>
      </c>
      <c r="I57" s="151">
        <f>F57*H57</f>
        <v>3432.429</v>
      </c>
      <c r="J57" s="253">
        <f>E57/SS_Density</f>
        <v>3.401021552261119</v>
      </c>
      <c r="K57" s="151">
        <f>J57*D57</f>
        <v>3.401021552261119</v>
      </c>
      <c r="L57" s="254">
        <f>G57</f>
        <v>49.5</v>
      </c>
      <c r="M57" s="231">
        <f>L57*2.54</f>
        <v>125.73</v>
      </c>
      <c r="N57" s="151">
        <f>K57*M57</f>
        <v>427.61043976579055</v>
      </c>
      <c r="O57" s="233">
        <v>0</v>
      </c>
      <c r="P57" s="231">
        <f>O57*2.54</f>
        <v>0</v>
      </c>
      <c r="Q57" s="151">
        <f>F57*P57</f>
        <v>0</v>
      </c>
      <c r="R57" s="231">
        <f>K57*P57</f>
        <v>0</v>
      </c>
      <c r="S57" s="255"/>
      <c r="T57" s="255"/>
      <c r="U57" s="255"/>
      <c r="V57" s="256"/>
      <c r="W57" s="255"/>
      <c r="X57" s="255"/>
      <c r="Y57" s="255"/>
      <c r="Z57" s="255"/>
      <c r="AA57" s="255"/>
    </row>
    <row r="58" spans="1:27" s="147" customFormat="1" ht="16.5" customHeight="1">
      <c r="A58" s="208"/>
      <c r="B58" s="237"/>
      <c r="C58" s="258"/>
      <c r="D58" s="259"/>
      <c r="E58" s="260"/>
      <c r="F58" s="261"/>
      <c r="G58" s="262"/>
      <c r="H58" s="263"/>
      <c r="I58" s="208"/>
      <c r="J58" s="212"/>
      <c r="K58" s="264"/>
      <c r="L58" s="211"/>
      <c r="M58" s="263"/>
      <c r="N58" s="264"/>
      <c r="O58" s="265"/>
      <c r="P58" s="264"/>
      <c r="Q58" s="264"/>
      <c r="R58" s="264"/>
      <c r="S58" s="218"/>
      <c r="T58" s="218"/>
      <c r="U58" s="218"/>
      <c r="V58" s="219"/>
      <c r="W58" s="218"/>
      <c r="X58" s="218"/>
      <c r="Y58" s="218"/>
      <c r="Z58" s="218"/>
      <c r="AA58" s="218"/>
    </row>
    <row r="59" spans="1:27" s="147" customFormat="1" ht="16.5" customHeight="1">
      <c r="A59" s="121">
        <v>1</v>
      </c>
      <c r="B59" s="147" t="s">
        <v>594</v>
      </c>
      <c r="C59" s="266">
        <v>55494</v>
      </c>
      <c r="D59" s="267"/>
      <c r="E59" s="268"/>
      <c r="F59" s="269"/>
      <c r="G59" s="270"/>
      <c r="H59" s="218"/>
      <c r="I59" s="121"/>
      <c r="J59" s="205"/>
      <c r="K59" s="219"/>
      <c r="L59" s="204"/>
      <c r="M59" s="218"/>
      <c r="N59" s="219"/>
      <c r="O59" s="271"/>
      <c r="P59" s="219"/>
      <c r="Q59" s="219"/>
      <c r="R59" s="219"/>
      <c r="S59" s="218"/>
      <c r="T59" s="218"/>
      <c r="U59" s="218"/>
      <c r="V59" s="219"/>
      <c r="W59" s="218"/>
      <c r="X59" s="218"/>
      <c r="Y59" s="218"/>
      <c r="Z59" s="218"/>
      <c r="AA59" s="218"/>
    </row>
    <row r="60" spans="1:27" s="147" customFormat="1" ht="16.5" customHeight="1">
      <c r="A60" s="121"/>
      <c r="B60" s="6" t="s">
        <v>595</v>
      </c>
      <c r="C60" s="254">
        <f>SUM(F62:F68)</f>
        <v>7421</v>
      </c>
      <c r="D60" s="199" t="s">
        <v>648</v>
      </c>
      <c r="E60" s="221" t="s">
        <v>656</v>
      </c>
      <c r="F60" s="269"/>
      <c r="G60" s="270"/>
      <c r="H60" s="218"/>
      <c r="J60" s="205"/>
      <c r="L60" s="204"/>
      <c r="M60" s="218"/>
      <c r="N60" s="219"/>
      <c r="O60" s="271"/>
      <c r="P60" s="219"/>
      <c r="Q60" s="219"/>
      <c r="R60" s="219"/>
      <c r="S60" s="218"/>
      <c r="T60" s="218"/>
      <c r="U60" s="218"/>
      <c r="V60" s="219"/>
      <c r="W60" s="218"/>
      <c r="X60" s="218"/>
      <c r="Y60" s="218"/>
      <c r="Z60" s="218"/>
      <c r="AA60" s="218"/>
    </row>
    <row r="61" spans="1:32" s="274" customFormat="1" ht="16.5" customHeight="1">
      <c r="A61" s="272"/>
      <c r="B61" s="153" t="s">
        <v>584</v>
      </c>
      <c r="C61" s="230">
        <v>7421</v>
      </c>
      <c r="D61" s="273" t="s">
        <v>648</v>
      </c>
      <c r="E61" s="223">
        <f>C61-C60</f>
        <v>0</v>
      </c>
      <c r="I61" s="275"/>
      <c r="O61" s="276"/>
      <c r="S61" s="277"/>
      <c r="T61" s="278"/>
      <c r="U61" s="279"/>
      <c r="V61" s="227"/>
      <c r="W61" s="280"/>
      <c r="X61" s="281"/>
      <c r="Y61" s="282"/>
      <c r="Z61" s="283"/>
      <c r="AA61" s="227"/>
      <c r="AB61" s="280"/>
      <c r="AC61" s="284"/>
      <c r="AD61" s="231"/>
      <c r="AE61" s="151"/>
      <c r="AF61" s="231"/>
    </row>
    <row r="62" spans="1:22" s="287" customFormat="1" ht="16.5" customHeight="1">
      <c r="A62" s="285">
        <v>2</v>
      </c>
      <c r="B62" s="126" t="s">
        <v>596</v>
      </c>
      <c r="C62" s="124">
        <v>49897</v>
      </c>
      <c r="D62" s="224">
        <v>1</v>
      </c>
      <c r="E62" s="230">
        <v>5225.2</v>
      </c>
      <c r="F62" s="231">
        <f aca="true" t="shared" si="0" ref="F62:F68">E62*D62</f>
        <v>5225.2</v>
      </c>
      <c r="G62" s="286">
        <v>28.22</v>
      </c>
      <c r="H62" s="231">
        <f aca="true" t="shared" si="1" ref="H62:H68">G62*2.54</f>
        <v>71.6788</v>
      </c>
      <c r="I62" s="151">
        <f aca="true" t="shared" si="2" ref="I62:I68">F62*H62</f>
        <v>374536.06575999997</v>
      </c>
      <c r="J62" s="253">
        <f>E62/Fiberglass_Density</f>
        <v>3219.7819705771285</v>
      </c>
      <c r="K62" s="151">
        <f aca="true" t="shared" si="3" ref="K62:K68">J62*D62</f>
        <v>3219.7819705771285</v>
      </c>
      <c r="L62" s="254">
        <f aca="true" t="shared" si="4" ref="L62:L68">G62</f>
        <v>28.22</v>
      </c>
      <c r="M62" s="231">
        <f aca="true" t="shared" si="5" ref="M62:M68">L62*2.54</f>
        <v>71.6788</v>
      </c>
      <c r="N62" s="151">
        <f aca="true" t="shared" si="6" ref="N62:N68">K62*M62</f>
        <v>230790.10791260385</v>
      </c>
      <c r="O62" s="233">
        <v>0</v>
      </c>
      <c r="P62" s="231">
        <f aca="true" t="shared" si="7" ref="P62:P68">O62*2.54</f>
        <v>0</v>
      </c>
      <c r="Q62" s="151">
        <f>E62*P62</f>
        <v>0</v>
      </c>
      <c r="R62" s="231">
        <f aca="true" t="shared" si="8" ref="R62:R68">K62*P62</f>
        <v>0</v>
      </c>
      <c r="S62" s="126"/>
      <c r="V62" s="288"/>
    </row>
    <row r="63" spans="1:22" s="287" customFormat="1" ht="33" customHeight="1">
      <c r="A63" s="285">
        <v>2</v>
      </c>
      <c r="B63" s="289" t="s">
        <v>597</v>
      </c>
      <c r="C63" s="124">
        <v>49834</v>
      </c>
      <c r="D63" s="224">
        <v>1</v>
      </c>
      <c r="E63" s="230">
        <v>688</v>
      </c>
      <c r="F63" s="231">
        <f t="shared" si="0"/>
        <v>688</v>
      </c>
      <c r="G63" s="252">
        <v>45.85</v>
      </c>
      <c r="H63" s="231">
        <f t="shared" si="1"/>
        <v>116.459</v>
      </c>
      <c r="I63" s="151">
        <f t="shared" si="2"/>
        <v>80123.792</v>
      </c>
      <c r="J63" s="253">
        <f>E63/Alum_density</f>
        <v>253.59380759307038</v>
      </c>
      <c r="K63" s="151">
        <f t="shared" si="3"/>
        <v>253.59380759307038</v>
      </c>
      <c r="L63" s="254">
        <f t="shared" si="4"/>
        <v>45.85</v>
      </c>
      <c r="M63" s="231">
        <f t="shared" si="5"/>
        <v>116.459</v>
      </c>
      <c r="N63" s="151">
        <f t="shared" si="6"/>
        <v>29533.281238481384</v>
      </c>
      <c r="O63" s="233">
        <v>0</v>
      </c>
      <c r="P63" s="231">
        <f t="shared" si="7"/>
        <v>0</v>
      </c>
      <c r="Q63" s="151">
        <f aca="true" t="shared" si="9" ref="Q63:Q68">F63*P63</f>
        <v>0</v>
      </c>
      <c r="R63" s="231">
        <f t="shared" si="8"/>
        <v>0</v>
      </c>
      <c r="V63" s="288"/>
    </row>
    <row r="64" spans="1:27" s="290" customFormat="1" ht="16.5" customHeight="1">
      <c r="A64" s="124">
        <v>2</v>
      </c>
      <c r="B64" s="290" t="s">
        <v>598</v>
      </c>
      <c r="C64" s="285">
        <v>49844</v>
      </c>
      <c r="D64" s="224">
        <v>1</v>
      </c>
      <c r="E64" s="230">
        <v>1246.5</v>
      </c>
      <c r="F64" s="231">
        <f t="shared" si="0"/>
        <v>1246.5</v>
      </c>
      <c r="G64" s="252">
        <v>3.715</v>
      </c>
      <c r="H64" s="231">
        <f t="shared" si="1"/>
        <v>9.4361</v>
      </c>
      <c r="I64" s="151">
        <f t="shared" si="2"/>
        <v>11762.09865</v>
      </c>
      <c r="J64" s="253">
        <f>E64/Brass_Density</f>
        <v>148.12834224598933</v>
      </c>
      <c r="K64" s="151">
        <f t="shared" si="3"/>
        <v>148.12834224598933</v>
      </c>
      <c r="L64" s="254">
        <f t="shared" si="4"/>
        <v>3.715</v>
      </c>
      <c r="M64" s="254">
        <f t="shared" si="5"/>
        <v>9.4361</v>
      </c>
      <c r="N64" s="151">
        <f t="shared" si="6"/>
        <v>1397.75385026738</v>
      </c>
      <c r="O64" s="233">
        <v>0</v>
      </c>
      <c r="P64" s="231">
        <f t="shared" si="7"/>
        <v>0</v>
      </c>
      <c r="Q64" s="151">
        <f t="shared" si="9"/>
        <v>0</v>
      </c>
      <c r="R64" s="231">
        <f t="shared" si="8"/>
        <v>0</v>
      </c>
      <c r="S64" s="126"/>
      <c r="T64" s="126"/>
      <c r="U64" s="126"/>
      <c r="V64" s="151"/>
      <c r="W64" s="126"/>
      <c r="X64" s="126"/>
      <c r="Y64" s="126"/>
      <c r="Z64" s="126"/>
      <c r="AA64" s="126"/>
    </row>
    <row r="65" spans="1:27" s="290" customFormat="1" ht="16.5" customHeight="1">
      <c r="A65" s="124">
        <v>2</v>
      </c>
      <c r="B65" s="291" t="s">
        <v>599</v>
      </c>
      <c r="C65" s="285">
        <v>55448</v>
      </c>
      <c r="D65" s="224">
        <v>1</v>
      </c>
      <c r="E65" s="230">
        <v>246</v>
      </c>
      <c r="F65" s="231">
        <f t="shared" si="0"/>
        <v>246</v>
      </c>
      <c r="G65" s="252">
        <v>3.715</v>
      </c>
      <c r="H65" s="231">
        <f t="shared" si="1"/>
        <v>9.4361</v>
      </c>
      <c r="I65" s="151">
        <f t="shared" si="2"/>
        <v>2321.2806</v>
      </c>
      <c r="J65" s="253">
        <f>E65/Brass_Density</f>
        <v>29.233511586452767</v>
      </c>
      <c r="K65" s="151">
        <f t="shared" si="3"/>
        <v>29.233511586452767</v>
      </c>
      <c r="L65" s="254">
        <f t="shared" si="4"/>
        <v>3.715</v>
      </c>
      <c r="M65" s="254">
        <f t="shared" si="5"/>
        <v>9.4361</v>
      </c>
      <c r="N65" s="151">
        <f t="shared" si="6"/>
        <v>275.85033868092694</v>
      </c>
      <c r="O65" s="233">
        <v>0</v>
      </c>
      <c r="P65" s="231">
        <f t="shared" si="7"/>
        <v>0</v>
      </c>
      <c r="Q65" s="151">
        <f t="shared" si="9"/>
        <v>0</v>
      </c>
      <c r="R65" s="231">
        <f t="shared" si="8"/>
        <v>0</v>
      </c>
      <c r="S65" s="126"/>
      <c r="T65" s="126"/>
      <c r="U65" s="126"/>
      <c r="V65" s="151"/>
      <c r="W65" s="126"/>
      <c r="X65" s="126"/>
      <c r="Y65" s="126"/>
      <c r="Z65" s="126"/>
      <c r="AA65" s="126"/>
    </row>
    <row r="66" spans="1:22" s="287" customFormat="1" ht="34.5" customHeight="1">
      <c r="A66" s="285">
        <v>2</v>
      </c>
      <c r="B66" s="292" t="s">
        <v>600</v>
      </c>
      <c r="C66" s="293" t="s">
        <v>601</v>
      </c>
      <c r="D66" s="224">
        <v>0</v>
      </c>
      <c r="E66" s="230">
        <v>0</v>
      </c>
      <c r="F66" s="231">
        <f t="shared" si="0"/>
        <v>0</v>
      </c>
      <c r="G66" s="252">
        <v>3.715</v>
      </c>
      <c r="H66" s="231">
        <f t="shared" si="1"/>
        <v>9.4361</v>
      </c>
      <c r="I66" s="151">
        <f t="shared" si="2"/>
        <v>0</v>
      </c>
      <c r="J66" s="253">
        <f>E66/Brass_Density</f>
        <v>0</v>
      </c>
      <c r="K66" s="151">
        <f t="shared" si="3"/>
        <v>0</v>
      </c>
      <c r="L66" s="254">
        <f t="shared" si="4"/>
        <v>3.715</v>
      </c>
      <c r="M66" s="231">
        <f t="shared" si="5"/>
        <v>9.4361</v>
      </c>
      <c r="N66" s="151">
        <f t="shared" si="6"/>
        <v>0</v>
      </c>
      <c r="O66" s="233">
        <v>0</v>
      </c>
      <c r="P66" s="231">
        <f t="shared" si="7"/>
        <v>0</v>
      </c>
      <c r="Q66" s="151">
        <f t="shared" si="9"/>
        <v>0</v>
      </c>
      <c r="R66" s="231">
        <f t="shared" si="8"/>
        <v>0</v>
      </c>
      <c r="V66" s="288"/>
    </row>
    <row r="67" spans="1:22" s="287" customFormat="1" ht="34.5" customHeight="1">
      <c r="A67" s="285">
        <v>2</v>
      </c>
      <c r="B67" s="292" t="s">
        <v>602</v>
      </c>
      <c r="C67" s="293" t="s">
        <v>603</v>
      </c>
      <c r="D67" s="224">
        <v>0</v>
      </c>
      <c r="E67" s="230">
        <v>23.4</v>
      </c>
      <c r="F67" s="231">
        <f t="shared" si="0"/>
        <v>0</v>
      </c>
      <c r="G67" s="252">
        <v>3.715</v>
      </c>
      <c r="H67" s="231">
        <f t="shared" si="1"/>
        <v>9.4361</v>
      </c>
      <c r="I67" s="151">
        <f t="shared" si="2"/>
        <v>0</v>
      </c>
      <c r="J67" s="253">
        <f>E67/Brass_Density</f>
        <v>2.7807486631016043</v>
      </c>
      <c r="K67" s="151">
        <f t="shared" si="3"/>
        <v>0</v>
      </c>
      <c r="L67" s="254">
        <f t="shared" si="4"/>
        <v>3.715</v>
      </c>
      <c r="M67" s="231">
        <f t="shared" si="5"/>
        <v>9.4361</v>
      </c>
      <c r="N67" s="151">
        <f t="shared" si="6"/>
        <v>0</v>
      </c>
      <c r="O67" s="233">
        <v>0</v>
      </c>
      <c r="P67" s="231">
        <f t="shared" si="7"/>
        <v>0</v>
      </c>
      <c r="Q67" s="151">
        <f t="shared" si="9"/>
        <v>0</v>
      </c>
      <c r="R67" s="231">
        <f t="shared" si="8"/>
        <v>0</v>
      </c>
      <c r="V67" s="288"/>
    </row>
    <row r="68" spans="1:22" s="287" customFormat="1" ht="34.5" customHeight="1">
      <c r="A68" s="294">
        <v>2</v>
      </c>
      <c r="B68" s="295" t="s">
        <v>604</v>
      </c>
      <c r="C68" s="296" t="s">
        <v>605</v>
      </c>
      <c r="D68" s="131">
        <v>1</v>
      </c>
      <c r="E68" s="297">
        <v>15.3</v>
      </c>
      <c r="F68" s="227">
        <f t="shared" si="0"/>
        <v>15.3</v>
      </c>
      <c r="G68" s="284">
        <v>3.715</v>
      </c>
      <c r="H68" s="227">
        <f t="shared" si="1"/>
        <v>9.4361</v>
      </c>
      <c r="I68" s="298">
        <f t="shared" si="2"/>
        <v>144.37233</v>
      </c>
      <c r="J68" s="253">
        <f>E68/Brass_Density</f>
        <v>1.8181818181818183</v>
      </c>
      <c r="K68" s="280">
        <f t="shared" si="3"/>
        <v>1.8181818181818183</v>
      </c>
      <c r="L68" s="142">
        <f t="shared" si="4"/>
        <v>3.715</v>
      </c>
      <c r="M68" s="227">
        <f t="shared" si="5"/>
        <v>9.4361</v>
      </c>
      <c r="N68" s="298">
        <f t="shared" si="6"/>
        <v>17.156545454545455</v>
      </c>
      <c r="O68" s="284">
        <v>0</v>
      </c>
      <c r="P68" s="227">
        <f t="shared" si="7"/>
        <v>0</v>
      </c>
      <c r="Q68" s="280">
        <f t="shared" si="9"/>
        <v>0</v>
      </c>
      <c r="R68" s="227">
        <f t="shared" si="8"/>
        <v>0</v>
      </c>
      <c r="V68" s="288"/>
    </row>
    <row r="69" spans="1:22" s="287" customFormat="1" ht="16.5" customHeight="1">
      <c r="A69" s="299"/>
      <c r="B69" s="300"/>
      <c r="C69" s="301"/>
      <c r="D69" s="243"/>
      <c r="E69" s="302"/>
      <c r="F69" s="303"/>
      <c r="G69" s="304"/>
      <c r="H69" s="303"/>
      <c r="I69" s="305"/>
      <c r="J69" s="306"/>
      <c r="K69" s="305"/>
      <c r="L69" s="307"/>
      <c r="M69" s="303"/>
      <c r="N69" s="305"/>
      <c r="O69" s="308"/>
      <c r="P69" s="303"/>
      <c r="Q69" s="305"/>
      <c r="R69" s="303"/>
      <c r="V69" s="288"/>
    </row>
    <row r="70" spans="1:22" s="287" customFormat="1" ht="16.5" customHeight="1">
      <c r="A70" s="309">
        <v>1</v>
      </c>
      <c r="B70" s="310" t="s">
        <v>606</v>
      </c>
      <c r="C70" s="293"/>
      <c r="D70" s="224"/>
      <c r="E70" s="230"/>
      <c r="F70" s="231"/>
      <c r="G70" s="252"/>
      <c r="H70" s="231"/>
      <c r="I70" s="151"/>
      <c r="J70" s="253"/>
      <c r="K70" s="151"/>
      <c r="L70" s="254"/>
      <c r="M70" s="231"/>
      <c r="N70" s="151"/>
      <c r="O70" s="233"/>
      <c r="P70" s="231"/>
      <c r="Q70" s="151"/>
      <c r="R70" s="231"/>
      <c r="V70" s="288"/>
    </row>
    <row r="71" spans="1:22" s="287" customFormat="1" ht="16.5" customHeight="1">
      <c r="A71" s="294"/>
      <c r="B71" s="6" t="s">
        <v>595</v>
      </c>
      <c r="C71" s="254">
        <f>SUM(F73:F86)</f>
        <v>802.1999999999999</v>
      </c>
      <c r="D71" s="199" t="s">
        <v>648</v>
      </c>
      <c r="E71" s="221" t="s">
        <v>656</v>
      </c>
      <c r="F71" s="227"/>
      <c r="G71" s="284"/>
      <c r="H71" s="227"/>
      <c r="I71" s="280"/>
      <c r="J71" s="253"/>
      <c r="K71" s="280"/>
      <c r="L71" s="142"/>
      <c r="M71" s="227"/>
      <c r="N71" s="280"/>
      <c r="O71" s="233"/>
      <c r="P71" s="227"/>
      <c r="Q71" s="280"/>
      <c r="R71" s="227"/>
      <c r="V71" s="288"/>
    </row>
    <row r="72" spans="1:22" s="287" customFormat="1" ht="16.5" customHeight="1">
      <c r="A72" s="294"/>
      <c r="B72" s="153" t="s">
        <v>584</v>
      </c>
      <c r="C72" s="230">
        <v>1436.6</v>
      </c>
      <c r="D72" s="273" t="s">
        <v>648</v>
      </c>
      <c r="E72" s="223">
        <f>C72-C71</f>
        <v>634.4</v>
      </c>
      <c r="F72" s="227"/>
      <c r="G72" s="284"/>
      <c r="H72" s="227"/>
      <c r="I72" s="280"/>
      <c r="J72" s="253"/>
      <c r="K72" s="280"/>
      <c r="L72" s="142"/>
      <c r="M72" s="227"/>
      <c r="N72" s="280"/>
      <c r="O72" s="233"/>
      <c r="P72" s="227"/>
      <c r="Q72" s="280"/>
      <c r="R72" s="227"/>
      <c r="V72" s="288"/>
    </row>
    <row r="73" spans="1:27" s="290" customFormat="1" ht="16.5" customHeight="1">
      <c r="A73" s="124">
        <v>2</v>
      </c>
      <c r="B73" s="311" t="s">
        <v>607</v>
      </c>
      <c r="C73" s="294"/>
      <c r="D73" s="224">
        <v>1</v>
      </c>
      <c r="E73" s="312">
        <v>702.4</v>
      </c>
      <c r="F73" s="231">
        <f aca="true" t="shared" si="10" ref="F73:F86">E73*D73</f>
        <v>702.4</v>
      </c>
      <c r="G73" s="284">
        <v>42.077</v>
      </c>
      <c r="H73" s="227">
        <f aca="true" t="shared" si="11" ref="H73:H86">G73*2.54</f>
        <v>106.87558</v>
      </c>
      <c r="I73" s="280">
        <f aca="true" t="shared" si="12" ref="I73:I86">F73*H73</f>
        <v>75069.407392</v>
      </c>
      <c r="J73" s="253">
        <f>E73/Lead_Density</f>
        <v>62.18130311614731</v>
      </c>
      <c r="K73" s="280">
        <f aca="true" t="shared" si="13" ref="K73:K86">J73*D73</f>
        <v>62.18130311614731</v>
      </c>
      <c r="L73" s="313">
        <f aca="true" t="shared" si="14" ref="L73:L86">G73</f>
        <v>42.077</v>
      </c>
      <c r="M73" s="142">
        <f aca="true" t="shared" si="15" ref="M73:M86">L73*2.54</f>
        <v>106.87558</v>
      </c>
      <c r="N73" s="280">
        <f aca="true" t="shared" si="16" ref="N73:N86">K73*M73</f>
        <v>6645.662835694051</v>
      </c>
      <c r="O73" s="233">
        <v>-5.16</v>
      </c>
      <c r="P73" s="227">
        <f aca="true" t="shared" si="17" ref="P73:P86">O73*2.54</f>
        <v>-13.1064</v>
      </c>
      <c r="Q73" s="280">
        <f aca="true" t="shared" si="18" ref="Q73:Q86">F73*P73</f>
        <v>-9205.93536</v>
      </c>
      <c r="R73" s="231">
        <f aca="true" t="shared" si="19" ref="R73:R86">K73*P73</f>
        <v>-814.9730311614732</v>
      </c>
      <c r="S73" s="129"/>
      <c r="T73" s="129"/>
      <c r="U73" s="126"/>
      <c r="V73" s="151"/>
      <c r="W73" s="126"/>
      <c r="X73" s="126"/>
      <c r="Y73" s="126"/>
      <c r="Z73" s="126"/>
      <c r="AA73" s="126"/>
    </row>
    <row r="74" spans="1:27" s="290" customFormat="1" ht="16.5" customHeight="1">
      <c r="A74" s="124">
        <v>2</v>
      </c>
      <c r="B74" s="291" t="s">
        <v>608</v>
      </c>
      <c r="C74" s="294" t="s">
        <v>609</v>
      </c>
      <c r="D74" s="224">
        <v>1</v>
      </c>
      <c r="E74" s="599">
        <v>47</v>
      </c>
      <c r="F74" s="227">
        <f t="shared" si="10"/>
        <v>47</v>
      </c>
      <c r="G74" s="284">
        <v>42.077</v>
      </c>
      <c r="H74" s="227">
        <f t="shared" si="11"/>
        <v>106.87558</v>
      </c>
      <c r="I74" s="280">
        <f t="shared" si="12"/>
        <v>5023.15226</v>
      </c>
      <c r="J74" s="253">
        <f>F74/Material!B9</f>
        <v>6.619718309859155</v>
      </c>
      <c r="K74" s="280">
        <f t="shared" si="13"/>
        <v>6.619718309859155</v>
      </c>
      <c r="L74" s="313">
        <f t="shared" si="14"/>
        <v>42.077</v>
      </c>
      <c r="M74" s="142">
        <f t="shared" si="15"/>
        <v>106.87558</v>
      </c>
      <c r="N74" s="280">
        <f t="shared" si="16"/>
        <v>707.4862338028169</v>
      </c>
      <c r="O74" s="233">
        <v>-5</v>
      </c>
      <c r="P74" s="227">
        <f t="shared" si="17"/>
        <v>-12.7</v>
      </c>
      <c r="Q74" s="280">
        <f t="shared" si="18"/>
        <v>-596.9</v>
      </c>
      <c r="R74" s="231">
        <f t="shared" si="19"/>
        <v>-84.07042253521126</v>
      </c>
      <c r="S74" s="129"/>
      <c r="T74" s="129"/>
      <c r="U74" s="126"/>
      <c r="V74" s="151"/>
      <c r="W74" s="126"/>
      <c r="X74" s="126"/>
      <c r="Y74" s="126"/>
      <c r="Z74" s="126"/>
      <c r="AA74" s="126"/>
    </row>
    <row r="75" spans="1:27" s="290" customFormat="1" ht="16.5" customHeight="1">
      <c r="A75" s="124">
        <v>2</v>
      </c>
      <c r="B75" s="311" t="s">
        <v>507</v>
      </c>
      <c r="C75" s="294"/>
      <c r="D75" s="224">
        <v>0</v>
      </c>
      <c r="E75" s="230">
        <v>0</v>
      </c>
      <c r="F75" s="227">
        <f t="shared" si="10"/>
        <v>0</v>
      </c>
      <c r="G75" s="284">
        <v>42.077</v>
      </c>
      <c r="H75" s="227">
        <f t="shared" si="11"/>
        <v>106.87558</v>
      </c>
      <c r="I75" s="280">
        <f t="shared" si="12"/>
        <v>0</v>
      </c>
      <c r="J75" s="253">
        <f>E75/Lead_Density</f>
        <v>0</v>
      </c>
      <c r="K75" s="280">
        <f t="shared" si="13"/>
        <v>0</v>
      </c>
      <c r="L75" s="313">
        <f t="shared" si="14"/>
        <v>42.077</v>
      </c>
      <c r="M75" s="142">
        <f t="shared" si="15"/>
        <v>106.87558</v>
      </c>
      <c r="N75" s="280">
        <f t="shared" si="16"/>
        <v>0</v>
      </c>
      <c r="O75" s="233">
        <v>0</v>
      </c>
      <c r="P75" s="227">
        <f t="shared" si="17"/>
        <v>0</v>
      </c>
      <c r="Q75" s="280">
        <f t="shared" si="18"/>
        <v>0</v>
      </c>
      <c r="R75" s="231">
        <f t="shared" si="19"/>
        <v>0</v>
      </c>
      <c r="S75" s="129"/>
      <c r="T75" s="129"/>
      <c r="U75" s="126"/>
      <c r="V75" s="151"/>
      <c r="W75" s="126"/>
      <c r="X75" s="126"/>
      <c r="Y75" s="126"/>
      <c r="Z75" s="126"/>
      <c r="AA75" s="126"/>
    </row>
    <row r="76" spans="1:27" s="290" customFormat="1" ht="16.5" customHeight="1">
      <c r="A76" s="124">
        <v>2</v>
      </c>
      <c r="B76" s="291" t="s">
        <v>508</v>
      </c>
      <c r="C76" s="294" t="s">
        <v>609</v>
      </c>
      <c r="D76" s="224">
        <v>0</v>
      </c>
      <c r="E76" s="230">
        <v>0</v>
      </c>
      <c r="F76" s="227">
        <f t="shared" si="10"/>
        <v>0</v>
      </c>
      <c r="G76" s="284">
        <v>42.077</v>
      </c>
      <c r="H76" s="227">
        <f t="shared" si="11"/>
        <v>106.87558</v>
      </c>
      <c r="I76" s="280">
        <f t="shared" si="12"/>
        <v>0</v>
      </c>
      <c r="J76" s="253">
        <f>F76/Material!B11</f>
        <v>0</v>
      </c>
      <c r="K76" s="280">
        <f t="shared" si="13"/>
        <v>0</v>
      </c>
      <c r="L76" s="313">
        <f t="shared" si="14"/>
        <v>42.077</v>
      </c>
      <c r="M76" s="142">
        <f t="shared" si="15"/>
        <v>106.87558</v>
      </c>
      <c r="N76" s="280">
        <f t="shared" si="16"/>
        <v>0</v>
      </c>
      <c r="O76" s="233">
        <v>0</v>
      </c>
      <c r="P76" s="227">
        <f t="shared" si="17"/>
        <v>0</v>
      </c>
      <c r="Q76" s="280">
        <f t="shared" si="18"/>
        <v>0</v>
      </c>
      <c r="R76" s="231">
        <f t="shared" si="19"/>
        <v>0</v>
      </c>
      <c r="S76" s="129"/>
      <c r="T76" s="129"/>
      <c r="U76" s="126"/>
      <c r="V76" s="151"/>
      <c r="W76" s="126"/>
      <c r="X76" s="126"/>
      <c r="Y76" s="126"/>
      <c r="Z76" s="126"/>
      <c r="AA76" s="126"/>
    </row>
    <row r="77" spans="1:27" s="290" customFormat="1" ht="16.5" customHeight="1">
      <c r="A77" s="124">
        <v>2</v>
      </c>
      <c r="B77" s="311" t="s">
        <v>509</v>
      </c>
      <c r="C77" s="294"/>
      <c r="D77" s="224">
        <v>0</v>
      </c>
      <c r="E77" s="230">
        <v>0</v>
      </c>
      <c r="F77" s="227">
        <f t="shared" si="10"/>
        <v>0</v>
      </c>
      <c r="G77" s="284">
        <v>42.077</v>
      </c>
      <c r="H77" s="227">
        <f t="shared" si="11"/>
        <v>106.87558</v>
      </c>
      <c r="I77" s="280">
        <f t="shared" si="12"/>
        <v>0</v>
      </c>
      <c r="J77" s="253">
        <f>E77/Lead_Density</f>
        <v>0</v>
      </c>
      <c r="K77" s="280">
        <f t="shared" si="13"/>
        <v>0</v>
      </c>
      <c r="L77" s="313">
        <f t="shared" si="14"/>
        <v>42.077</v>
      </c>
      <c r="M77" s="142">
        <f t="shared" si="15"/>
        <v>106.87558</v>
      </c>
      <c r="N77" s="280">
        <f t="shared" si="16"/>
        <v>0</v>
      </c>
      <c r="O77" s="233">
        <v>0</v>
      </c>
      <c r="P77" s="227">
        <f t="shared" si="17"/>
        <v>0</v>
      </c>
      <c r="Q77" s="280">
        <f t="shared" si="18"/>
        <v>0</v>
      </c>
      <c r="R77" s="231">
        <f t="shared" si="19"/>
        <v>0</v>
      </c>
      <c r="S77" s="129"/>
      <c r="T77" s="129"/>
      <c r="U77" s="126"/>
      <c r="V77" s="151"/>
      <c r="W77" s="126"/>
      <c r="X77" s="126"/>
      <c r="Y77" s="126"/>
      <c r="Z77" s="126"/>
      <c r="AA77" s="126"/>
    </row>
    <row r="78" spans="1:27" s="290" customFormat="1" ht="16.5" customHeight="1">
      <c r="A78" s="124">
        <v>2</v>
      </c>
      <c r="B78" s="291" t="s">
        <v>510</v>
      </c>
      <c r="C78" s="294" t="s">
        <v>609</v>
      </c>
      <c r="D78" s="224">
        <v>0</v>
      </c>
      <c r="E78" s="230">
        <v>0</v>
      </c>
      <c r="F78" s="227">
        <f t="shared" si="10"/>
        <v>0</v>
      </c>
      <c r="G78" s="284">
        <v>42.077</v>
      </c>
      <c r="H78" s="227">
        <f t="shared" si="11"/>
        <v>106.87558</v>
      </c>
      <c r="I78" s="280">
        <f t="shared" si="12"/>
        <v>0</v>
      </c>
      <c r="J78" s="253">
        <f>F78/Material!B13</f>
        <v>0</v>
      </c>
      <c r="K78" s="280">
        <f t="shared" si="13"/>
        <v>0</v>
      </c>
      <c r="L78" s="313">
        <f t="shared" si="14"/>
        <v>42.077</v>
      </c>
      <c r="M78" s="142">
        <f t="shared" si="15"/>
        <v>106.87558</v>
      </c>
      <c r="N78" s="280">
        <f t="shared" si="16"/>
        <v>0</v>
      </c>
      <c r="O78" s="233">
        <v>0</v>
      </c>
      <c r="P78" s="227">
        <f t="shared" si="17"/>
        <v>0</v>
      </c>
      <c r="Q78" s="280">
        <f t="shared" si="18"/>
        <v>0</v>
      </c>
      <c r="R78" s="231">
        <f t="shared" si="19"/>
        <v>0</v>
      </c>
      <c r="S78" s="129"/>
      <c r="T78" s="129"/>
      <c r="U78" s="126"/>
      <c r="V78" s="151"/>
      <c r="W78" s="126"/>
      <c r="X78" s="126"/>
      <c r="Y78" s="126"/>
      <c r="Z78" s="126"/>
      <c r="AA78" s="126"/>
    </row>
    <row r="79" spans="1:27" s="290" customFormat="1" ht="16.5" customHeight="1">
      <c r="A79" s="124">
        <v>2</v>
      </c>
      <c r="B79" s="311" t="s">
        <v>511</v>
      </c>
      <c r="C79" s="294"/>
      <c r="D79" s="224">
        <v>0</v>
      </c>
      <c r="E79" s="230">
        <v>0</v>
      </c>
      <c r="F79" s="227">
        <f t="shared" si="10"/>
        <v>0</v>
      </c>
      <c r="G79" s="284">
        <v>42.077</v>
      </c>
      <c r="H79" s="227">
        <f t="shared" si="11"/>
        <v>106.87558</v>
      </c>
      <c r="I79" s="280">
        <f t="shared" si="12"/>
        <v>0</v>
      </c>
      <c r="J79" s="253">
        <f>E79/Lead_Density</f>
        <v>0</v>
      </c>
      <c r="K79" s="280">
        <f t="shared" si="13"/>
        <v>0</v>
      </c>
      <c r="L79" s="313">
        <f t="shared" si="14"/>
        <v>42.077</v>
      </c>
      <c r="M79" s="142">
        <f t="shared" si="15"/>
        <v>106.87558</v>
      </c>
      <c r="N79" s="280">
        <f t="shared" si="16"/>
        <v>0</v>
      </c>
      <c r="O79" s="233">
        <v>5.1</v>
      </c>
      <c r="P79" s="227">
        <f t="shared" si="17"/>
        <v>12.953999999999999</v>
      </c>
      <c r="Q79" s="280">
        <f t="shared" si="18"/>
        <v>0</v>
      </c>
      <c r="R79" s="231">
        <f t="shared" si="19"/>
        <v>0</v>
      </c>
      <c r="S79" s="129"/>
      <c r="T79" s="129"/>
      <c r="U79" s="126"/>
      <c r="V79" s="151"/>
      <c r="W79" s="126"/>
      <c r="X79" s="126"/>
      <c r="Y79" s="126"/>
      <c r="Z79" s="126"/>
      <c r="AA79" s="126"/>
    </row>
    <row r="80" spans="1:27" s="290" customFormat="1" ht="16.5" customHeight="1">
      <c r="A80" s="124">
        <v>2</v>
      </c>
      <c r="B80" s="291" t="s">
        <v>624</v>
      </c>
      <c r="C80" s="294" t="s">
        <v>609</v>
      </c>
      <c r="D80" s="224">
        <v>0</v>
      </c>
      <c r="E80" s="230">
        <v>0</v>
      </c>
      <c r="F80" s="227">
        <f t="shared" si="10"/>
        <v>0</v>
      </c>
      <c r="G80" s="284">
        <v>42.077</v>
      </c>
      <c r="H80" s="227">
        <f t="shared" si="11"/>
        <v>106.87558</v>
      </c>
      <c r="I80" s="280">
        <f t="shared" si="12"/>
        <v>0</v>
      </c>
      <c r="J80" s="253">
        <f>F80/Material!B15</f>
        <v>0</v>
      </c>
      <c r="K80" s="280">
        <f t="shared" si="13"/>
        <v>0</v>
      </c>
      <c r="L80" s="313">
        <f t="shared" si="14"/>
        <v>42.077</v>
      </c>
      <c r="M80" s="142">
        <f t="shared" si="15"/>
        <v>106.87558</v>
      </c>
      <c r="N80" s="280">
        <f t="shared" si="16"/>
        <v>0</v>
      </c>
      <c r="O80" s="233">
        <v>5</v>
      </c>
      <c r="P80" s="227">
        <f t="shared" si="17"/>
        <v>12.7</v>
      </c>
      <c r="Q80" s="280">
        <f t="shared" si="18"/>
        <v>0</v>
      </c>
      <c r="R80" s="231">
        <f t="shared" si="19"/>
        <v>0</v>
      </c>
      <c r="S80" s="129"/>
      <c r="T80" s="129"/>
      <c r="U80" s="126"/>
      <c r="V80" s="151"/>
      <c r="W80" s="126"/>
      <c r="X80" s="126"/>
      <c r="Y80" s="126"/>
      <c r="Z80" s="126"/>
      <c r="AA80" s="126"/>
    </row>
    <row r="81" spans="1:27" s="290" customFormat="1" ht="16.5" customHeight="1">
      <c r="A81" s="124">
        <v>2</v>
      </c>
      <c r="B81" s="311" t="s">
        <v>625</v>
      </c>
      <c r="C81" s="294"/>
      <c r="D81" s="224">
        <v>1</v>
      </c>
      <c r="E81" s="599">
        <v>4</v>
      </c>
      <c r="F81" s="227">
        <f t="shared" si="10"/>
        <v>4</v>
      </c>
      <c r="G81" s="284">
        <v>42.077</v>
      </c>
      <c r="H81" s="227">
        <f t="shared" si="11"/>
        <v>106.87558</v>
      </c>
      <c r="I81" s="280">
        <f t="shared" si="12"/>
        <v>427.50232</v>
      </c>
      <c r="J81" s="253">
        <f>E81/PVC_Density</f>
        <v>2.8368794326241136</v>
      </c>
      <c r="K81" s="280">
        <f t="shared" si="13"/>
        <v>2.8368794326241136</v>
      </c>
      <c r="L81" s="313">
        <f t="shared" si="14"/>
        <v>42.077</v>
      </c>
      <c r="M81" s="142">
        <f t="shared" si="15"/>
        <v>106.87558</v>
      </c>
      <c r="N81" s="280">
        <f t="shared" si="16"/>
        <v>303.1931347517731</v>
      </c>
      <c r="O81" s="233">
        <v>5.1</v>
      </c>
      <c r="P81" s="227">
        <f t="shared" si="17"/>
        <v>12.953999999999999</v>
      </c>
      <c r="Q81" s="280">
        <f t="shared" si="18"/>
        <v>51.815999999999995</v>
      </c>
      <c r="R81" s="231">
        <f t="shared" si="19"/>
        <v>36.748936170212765</v>
      </c>
      <c r="S81" s="129"/>
      <c r="T81" s="129"/>
      <c r="U81" s="126"/>
      <c r="V81" s="151"/>
      <c r="W81" s="126"/>
      <c r="X81" s="126"/>
      <c r="Y81" s="126"/>
      <c r="Z81" s="126"/>
      <c r="AA81" s="126"/>
    </row>
    <row r="82" spans="1:27" s="290" customFormat="1" ht="16.5" customHeight="1">
      <c r="A82" s="124">
        <v>2</v>
      </c>
      <c r="B82" s="291" t="s">
        <v>626</v>
      </c>
      <c r="C82" s="294" t="s">
        <v>609</v>
      </c>
      <c r="D82" s="224">
        <v>1</v>
      </c>
      <c r="E82" s="599">
        <v>30</v>
      </c>
      <c r="F82" s="227">
        <f t="shared" si="10"/>
        <v>30</v>
      </c>
      <c r="G82" s="284">
        <v>42.077</v>
      </c>
      <c r="H82" s="227">
        <f t="shared" si="11"/>
        <v>106.87558</v>
      </c>
      <c r="I82" s="280">
        <f t="shared" si="12"/>
        <v>3206.2674</v>
      </c>
      <c r="J82" s="253">
        <f>F82/Material!B15</f>
        <v>26.064291920069504</v>
      </c>
      <c r="K82" s="280">
        <f t="shared" si="13"/>
        <v>26.064291920069504</v>
      </c>
      <c r="L82" s="313">
        <f t="shared" si="14"/>
        <v>42.077</v>
      </c>
      <c r="M82" s="142">
        <f t="shared" si="15"/>
        <v>106.87558</v>
      </c>
      <c r="N82" s="280">
        <f t="shared" si="16"/>
        <v>2785.636316246742</v>
      </c>
      <c r="O82" s="233">
        <v>0</v>
      </c>
      <c r="P82" s="227">
        <f t="shared" si="17"/>
        <v>0</v>
      </c>
      <c r="Q82" s="280">
        <f t="shared" si="18"/>
        <v>0</v>
      </c>
      <c r="R82" s="231">
        <f t="shared" si="19"/>
        <v>0</v>
      </c>
      <c r="T82" s="129"/>
      <c r="U82" s="126"/>
      <c r="V82" s="151"/>
      <c r="W82" s="126"/>
      <c r="X82" s="126"/>
      <c r="Y82" s="126"/>
      <c r="Z82" s="126"/>
      <c r="AA82" s="126"/>
    </row>
    <row r="83" spans="1:256" ht="15">
      <c r="A83" s="11">
        <v>2</v>
      </c>
      <c r="B83" s="311" t="s">
        <v>627</v>
      </c>
      <c r="C83" s="294"/>
      <c r="D83" s="224">
        <v>0</v>
      </c>
      <c r="E83" s="230">
        <v>0</v>
      </c>
      <c r="F83" s="227">
        <f t="shared" si="10"/>
        <v>0</v>
      </c>
      <c r="G83" s="284">
        <v>22.45</v>
      </c>
      <c r="H83" s="227">
        <f t="shared" si="11"/>
        <v>57.022999999999996</v>
      </c>
      <c r="I83" s="280">
        <f t="shared" si="12"/>
        <v>0</v>
      </c>
      <c r="J83" s="253">
        <f>E83/Lead_Density</f>
        <v>0</v>
      </c>
      <c r="K83" s="280">
        <f t="shared" si="13"/>
        <v>0</v>
      </c>
      <c r="L83" s="313">
        <f t="shared" si="14"/>
        <v>22.45</v>
      </c>
      <c r="M83" s="142">
        <f t="shared" si="15"/>
        <v>57.022999999999996</v>
      </c>
      <c r="N83" s="280">
        <f t="shared" si="16"/>
        <v>0</v>
      </c>
      <c r="O83" s="233">
        <v>4.035</v>
      </c>
      <c r="P83" s="227">
        <f t="shared" si="17"/>
        <v>10.2489</v>
      </c>
      <c r="Q83" s="280">
        <f t="shared" si="18"/>
        <v>0</v>
      </c>
      <c r="R83" s="231">
        <f t="shared" si="19"/>
        <v>0</v>
      </c>
      <c r="S83"/>
      <c r="T83"/>
      <c r="U83"/>
      <c r="V83" s="1"/>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7" s="290" customFormat="1" ht="16.5" customHeight="1">
      <c r="A84" s="124">
        <v>2</v>
      </c>
      <c r="B84" s="311" t="s">
        <v>625</v>
      </c>
      <c r="C84" s="294"/>
      <c r="D84" s="224">
        <v>0</v>
      </c>
      <c r="E84" s="230">
        <v>0</v>
      </c>
      <c r="F84" s="227">
        <f t="shared" si="10"/>
        <v>0</v>
      </c>
      <c r="G84" s="284">
        <v>22.45</v>
      </c>
      <c r="H84" s="227">
        <f t="shared" si="11"/>
        <v>57.022999999999996</v>
      </c>
      <c r="I84" s="280">
        <f t="shared" si="12"/>
        <v>0</v>
      </c>
      <c r="J84" s="253">
        <f>E84/PVC_Density</f>
        <v>0</v>
      </c>
      <c r="K84" s="280">
        <f t="shared" si="13"/>
        <v>0</v>
      </c>
      <c r="L84" s="313">
        <f t="shared" si="14"/>
        <v>22.45</v>
      </c>
      <c r="M84" s="142">
        <f t="shared" si="15"/>
        <v>57.022999999999996</v>
      </c>
      <c r="N84" s="280">
        <f t="shared" si="16"/>
        <v>0</v>
      </c>
      <c r="O84" s="233">
        <v>4.035</v>
      </c>
      <c r="P84" s="227">
        <f t="shared" si="17"/>
        <v>10.2489</v>
      </c>
      <c r="Q84" s="280">
        <f t="shared" si="18"/>
        <v>0</v>
      </c>
      <c r="R84" s="231">
        <f t="shared" si="19"/>
        <v>0</v>
      </c>
      <c r="S84" s="129"/>
      <c r="T84" s="129"/>
      <c r="U84" s="126"/>
      <c r="V84" s="151"/>
      <c r="W84" s="126"/>
      <c r="X84" s="126"/>
      <c r="Y84" s="126"/>
      <c r="Z84" s="126"/>
      <c r="AA84" s="126"/>
    </row>
    <row r="85" spans="1:27" s="290" customFormat="1" ht="16.5" customHeight="1">
      <c r="A85" s="124">
        <v>2</v>
      </c>
      <c r="B85" s="291" t="s">
        <v>628</v>
      </c>
      <c r="C85" s="294" t="s">
        <v>609</v>
      </c>
      <c r="D85" s="224">
        <v>0</v>
      </c>
      <c r="E85" s="230">
        <v>0</v>
      </c>
      <c r="F85" s="227">
        <f t="shared" si="10"/>
        <v>0</v>
      </c>
      <c r="G85" s="284">
        <v>22.45</v>
      </c>
      <c r="H85" s="227">
        <f t="shared" si="11"/>
        <v>57.022999999999996</v>
      </c>
      <c r="I85" s="280">
        <f t="shared" si="12"/>
        <v>0</v>
      </c>
      <c r="J85" s="253">
        <f>F85/Material!B14</f>
        <v>0</v>
      </c>
      <c r="K85" s="280">
        <f t="shared" si="13"/>
        <v>0</v>
      </c>
      <c r="L85" s="313">
        <f t="shared" si="14"/>
        <v>22.45</v>
      </c>
      <c r="M85" s="142">
        <f t="shared" si="15"/>
        <v>57.022999999999996</v>
      </c>
      <c r="N85" s="280">
        <f t="shared" si="16"/>
        <v>0</v>
      </c>
      <c r="O85" s="233">
        <v>4</v>
      </c>
      <c r="P85" s="227">
        <f t="shared" si="17"/>
        <v>10.16</v>
      </c>
      <c r="Q85" s="280">
        <f t="shared" si="18"/>
        <v>0</v>
      </c>
      <c r="R85" s="231">
        <f t="shared" si="19"/>
        <v>0</v>
      </c>
      <c r="S85" s="129"/>
      <c r="T85" s="129"/>
      <c r="U85" s="126"/>
      <c r="V85" s="151"/>
      <c r="W85" s="126"/>
      <c r="X85" s="126"/>
      <c r="Y85" s="126"/>
      <c r="Z85" s="126"/>
      <c r="AA85" s="126"/>
    </row>
    <row r="86" spans="1:27" s="290" customFormat="1" ht="16.5" customHeight="1">
      <c r="A86" s="124">
        <v>2</v>
      </c>
      <c r="B86" s="291" t="s">
        <v>50</v>
      </c>
      <c r="C86" s="294" t="s">
        <v>609</v>
      </c>
      <c r="D86" s="224">
        <v>1</v>
      </c>
      <c r="E86" s="599">
        <v>18.8</v>
      </c>
      <c r="F86" s="227">
        <f t="shared" si="10"/>
        <v>18.8</v>
      </c>
      <c r="G86" s="284">
        <v>22.45</v>
      </c>
      <c r="H86" s="227">
        <f t="shared" si="11"/>
        <v>57.022999999999996</v>
      </c>
      <c r="I86" s="280">
        <f t="shared" si="12"/>
        <v>1072.0324</v>
      </c>
      <c r="J86" s="253">
        <f>E86/Material!B15</f>
        <v>16.33362293657689</v>
      </c>
      <c r="K86" s="280">
        <f t="shared" si="13"/>
        <v>16.33362293657689</v>
      </c>
      <c r="L86" s="313">
        <f t="shared" si="14"/>
        <v>22.45</v>
      </c>
      <c r="M86" s="142">
        <f t="shared" si="15"/>
        <v>57.022999999999996</v>
      </c>
      <c r="N86" s="280">
        <f t="shared" si="16"/>
        <v>931.392180712424</v>
      </c>
      <c r="O86" s="233">
        <v>0</v>
      </c>
      <c r="P86" s="227">
        <f t="shared" si="17"/>
        <v>0</v>
      </c>
      <c r="Q86" s="280">
        <f t="shared" si="18"/>
        <v>0</v>
      </c>
      <c r="R86" s="231">
        <f t="shared" si="19"/>
        <v>0</v>
      </c>
      <c r="S86" s="129"/>
      <c r="T86" s="129"/>
      <c r="U86" s="126"/>
      <c r="V86" s="151"/>
      <c r="W86" s="126"/>
      <c r="X86" s="126"/>
      <c r="Y86" s="126"/>
      <c r="Z86" s="126"/>
      <c r="AA86" s="126"/>
    </row>
    <row r="87" spans="2:27" s="290" customFormat="1" ht="16.5" customHeight="1">
      <c r="B87" s="314" t="s">
        <v>629</v>
      </c>
      <c r="C87" s="315">
        <v>1310</v>
      </c>
      <c r="D87" s="224"/>
      <c r="E87" s="230"/>
      <c r="F87" s="227"/>
      <c r="G87" s="284"/>
      <c r="H87" s="227"/>
      <c r="I87" s="280"/>
      <c r="J87" s="253"/>
      <c r="K87" s="280"/>
      <c r="L87" s="142"/>
      <c r="M87" s="142"/>
      <c r="N87" s="280"/>
      <c r="O87" s="233"/>
      <c r="P87" s="227"/>
      <c r="Q87" s="280"/>
      <c r="R87" s="231"/>
      <c r="S87" s="129"/>
      <c r="T87" s="129"/>
      <c r="U87" s="126"/>
      <c r="V87" s="151"/>
      <c r="W87" s="126"/>
      <c r="X87" s="126"/>
      <c r="Y87" s="126"/>
      <c r="Z87" s="126"/>
      <c r="AA87" s="126"/>
    </row>
    <row r="88" spans="1:27" s="290" customFormat="1" ht="16.5" customHeight="1">
      <c r="A88" s="316"/>
      <c r="B88" s="317" t="s">
        <v>630</v>
      </c>
      <c r="C88" s="318">
        <f>SUM(F65:F86)</f>
        <v>1063.5</v>
      </c>
      <c r="D88" s="319">
        <f>C87-C88</f>
        <v>246.5</v>
      </c>
      <c r="E88" s="320" t="s">
        <v>656</v>
      </c>
      <c r="F88" s="303"/>
      <c r="G88" s="304"/>
      <c r="H88" s="303"/>
      <c r="I88" s="305"/>
      <c r="J88" s="306"/>
      <c r="K88" s="305"/>
      <c r="L88" s="307"/>
      <c r="M88" s="307"/>
      <c r="N88" s="305"/>
      <c r="O88" s="308"/>
      <c r="P88" s="303"/>
      <c r="Q88" s="305"/>
      <c r="R88" s="303"/>
      <c r="S88" s="129"/>
      <c r="T88" s="129"/>
      <c r="U88" s="126"/>
      <c r="V88" s="151"/>
      <c r="W88" s="126"/>
      <c r="X88" s="126"/>
      <c r="Y88" s="126"/>
      <c r="Z88" s="126"/>
      <c r="AA88" s="126"/>
    </row>
    <row r="89" spans="1:27" s="147" customFormat="1" ht="16.5" customHeight="1">
      <c r="A89" s="121">
        <v>1</v>
      </c>
      <c r="B89" s="147" t="s">
        <v>631</v>
      </c>
      <c r="C89" s="121">
        <v>55497</v>
      </c>
      <c r="D89" s="267"/>
      <c r="E89" s="321"/>
      <c r="J89" s="322"/>
      <c r="O89" s="322"/>
      <c r="S89" s="218"/>
      <c r="T89" s="218"/>
      <c r="U89" s="218"/>
      <c r="V89" s="219"/>
      <c r="W89" s="218"/>
      <c r="X89" s="218"/>
      <c r="Y89" s="218"/>
      <c r="Z89" s="218"/>
      <c r="AA89" s="218"/>
    </row>
    <row r="90" spans="1:27" s="147" customFormat="1" ht="16.5" customHeight="1">
      <c r="A90" s="121"/>
      <c r="B90" s="6" t="s">
        <v>595</v>
      </c>
      <c r="C90" s="149">
        <f>SUM(F93:F138)</f>
        <v>4600.6</v>
      </c>
      <c r="D90" s="199" t="s">
        <v>648</v>
      </c>
      <c r="E90" s="221" t="s">
        <v>656</v>
      </c>
      <c r="F90" s="149"/>
      <c r="G90" s="323"/>
      <c r="H90" s="217"/>
      <c r="J90" s="324"/>
      <c r="L90" s="325"/>
      <c r="M90" s="217"/>
      <c r="N90" s="219"/>
      <c r="O90" s="326"/>
      <c r="P90" s="217"/>
      <c r="Q90" s="219"/>
      <c r="R90" s="327"/>
      <c r="S90" s="218"/>
      <c r="T90" s="218"/>
      <c r="U90" s="218"/>
      <c r="V90" s="219"/>
      <c r="W90" s="218"/>
      <c r="X90" s="218"/>
      <c r="Y90" s="218"/>
      <c r="Z90" s="218"/>
      <c r="AA90" s="218"/>
    </row>
    <row r="91" spans="1:32" s="147" customFormat="1" ht="16.5" customHeight="1">
      <c r="A91" s="121"/>
      <c r="B91" s="6" t="s">
        <v>584</v>
      </c>
      <c r="C91" s="230">
        <v>4591</v>
      </c>
      <c r="D91" s="199" t="s">
        <v>648</v>
      </c>
      <c r="E91" s="223">
        <f>C91-C90</f>
        <v>-9.600000000000364</v>
      </c>
      <c r="I91" s="328"/>
      <c r="O91" s="322"/>
      <c r="S91"/>
      <c r="T91"/>
      <c r="U91"/>
      <c r="V91"/>
      <c r="W91"/>
      <c r="X91"/>
      <c r="Y91"/>
      <c r="Z91"/>
      <c r="AA91"/>
      <c r="AB91"/>
      <c r="AC91"/>
      <c r="AD91"/>
      <c r="AE91"/>
      <c r="AF91"/>
    </row>
    <row r="92" spans="1:32" s="147" customFormat="1" ht="16.5" customHeight="1">
      <c r="A92" s="121"/>
      <c r="B92" s="6"/>
      <c r="C92" s="230"/>
      <c r="D92" s="199"/>
      <c r="E92" s="223"/>
      <c r="I92" s="247"/>
      <c r="O92" s="322"/>
      <c r="S92"/>
      <c r="T92"/>
      <c r="U92"/>
      <c r="V92"/>
      <c r="W92"/>
      <c r="X92"/>
      <c r="Y92"/>
      <c r="Z92"/>
      <c r="AA92"/>
      <c r="AB92"/>
      <c r="AC92"/>
      <c r="AD92"/>
      <c r="AE92"/>
      <c r="AF92"/>
    </row>
    <row r="93" spans="1:27" s="290" customFormat="1" ht="16.5" customHeight="1">
      <c r="A93" s="124">
        <v>2</v>
      </c>
      <c r="B93" s="126" t="s">
        <v>523</v>
      </c>
      <c r="C93" s="293" t="s">
        <v>524</v>
      </c>
      <c r="D93" s="224">
        <v>1</v>
      </c>
      <c r="E93" s="230">
        <v>1915.8</v>
      </c>
      <c r="F93" s="231">
        <f aca="true" t="shared" si="20" ref="F93:F103">E93*D93</f>
        <v>1915.8</v>
      </c>
      <c r="G93" s="286">
        <v>54.87</v>
      </c>
      <c r="H93" s="231">
        <f>G93*2.54</f>
        <v>139.3698</v>
      </c>
      <c r="I93" s="151">
        <f aca="true" t="shared" si="21" ref="I93:I103">F93*H93</f>
        <v>267004.66284</v>
      </c>
      <c r="J93" s="253">
        <f>F93/Fiberglass_Density</f>
        <v>1180.5209942646527</v>
      </c>
      <c r="K93" s="151">
        <f aca="true" t="shared" si="22" ref="K93:K103">J93*D93</f>
        <v>1180.5209942646527</v>
      </c>
      <c r="L93" s="254">
        <f>G93</f>
        <v>54.87</v>
      </c>
      <c r="M93" s="231">
        <f>L93*2.54</f>
        <v>139.3698</v>
      </c>
      <c r="N93" s="151">
        <f aca="true" t="shared" si="23" ref="N93:N103">K93*M93</f>
        <v>164528.97486646578</v>
      </c>
      <c r="O93" s="233">
        <v>-0.02</v>
      </c>
      <c r="P93" s="231">
        <f aca="true" t="shared" si="24" ref="P93:P103">O93*2.54</f>
        <v>-0.050800000000000005</v>
      </c>
      <c r="Q93" s="151">
        <f aca="true" t="shared" si="25" ref="Q93:Q103">F93*P93</f>
        <v>-97.32264</v>
      </c>
      <c r="R93" s="231">
        <f aca="true" t="shared" si="26" ref="R93:R103">K93*P93</f>
        <v>-59.970466508644364</v>
      </c>
      <c r="S93" s="126"/>
      <c r="T93" s="126"/>
      <c r="U93" s="126"/>
      <c r="V93" s="151"/>
      <c r="W93" s="126"/>
      <c r="X93" s="126"/>
      <c r="Y93" s="126"/>
      <c r="Z93" s="126"/>
      <c r="AA93" s="126"/>
    </row>
    <row r="94" spans="1:18" s="126" customFormat="1" ht="16.5" customHeight="1">
      <c r="A94" s="124">
        <v>2</v>
      </c>
      <c r="B94" s="290" t="s">
        <v>525</v>
      </c>
      <c r="C94" s="293">
        <v>49838</v>
      </c>
      <c r="D94" s="224">
        <v>1</v>
      </c>
      <c r="E94" s="230">
        <v>656</v>
      </c>
      <c r="F94" s="231">
        <f t="shared" si="20"/>
        <v>656</v>
      </c>
      <c r="G94" s="252"/>
      <c r="H94" s="231">
        <v>130.7</v>
      </c>
      <c r="I94" s="151">
        <f t="shared" si="21"/>
        <v>85739.2</v>
      </c>
      <c r="J94" s="329">
        <f>D94*641.6</f>
        <v>641.6</v>
      </c>
      <c r="K94" s="151">
        <f t="shared" si="22"/>
        <v>641.6</v>
      </c>
      <c r="L94" s="254"/>
      <c r="M94" s="231">
        <f>H94</f>
        <v>130.7</v>
      </c>
      <c r="N94" s="151">
        <f t="shared" si="23"/>
        <v>83857.12</v>
      </c>
      <c r="O94" s="233">
        <v>0</v>
      </c>
      <c r="P94" s="231">
        <f t="shared" si="24"/>
        <v>0</v>
      </c>
      <c r="Q94" s="151">
        <f t="shared" si="25"/>
        <v>0</v>
      </c>
      <c r="R94" s="231">
        <f t="shared" si="26"/>
        <v>0</v>
      </c>
    </row>
    <row r="95" spans="1:18" s="126" customFormat="1" ht="16.5" customHeight="1">
      <c r="A95" s="124">
        <v>2</v>
      </c>
      <c r="B95" s="290" t="s">
        <v>526</v>
      </c>
      <c r="C95" s="293">
        <v>49838</v>
      </c>
      <c r="D95" s="224">
        <v>0</v>
      </c>
      <c r="E95" s="230">
        <v>0</v>
      </c>
      <c r="F95" s="231">
        <f t="shared" si="20"/>
        <v>0</v>
      </c>
      <c r="G95" s="252"/>
      <c r="H95" s="231">
        <v>130.7</v>
      </c>
      <c r="I95" s="151">
        <f t="shared" si="21"/>
        <v>0</v>
      </c>
      <c r="J95" s="329">
        <f>D95*759.3</f>
        <v>0</v>
      </c>
      <c r="K95" s="151">
        <f t="shared" si="22"/>
        <v>0</v>
      </c>
      <c r="L95" s="254"/>
      <c r="M95" s="231">
        <f>H95</f>
        <v>130.7</v>
      </c>
      <c r="N95" s="151">
        <f t="shared" si="23"/>
        <v>0</v>
      </c>
      <c r="O95" s="233">
        <v>0</v>
      </c>
      <c r="P95" s="231">
        <f t="shared" si="24"/>
        <v>0</v>
      </c>
      <c r="Q95" s="151">
        <f t="shared" si="25"/>
        <v>0</v>
      </c>
      <c r="R95" s="231">
        <f t="shared" si="26"/>
        <v>0</v>
      </c>
    </row>
    <row r="96" spans="1:18" s="126" customFormat="1" ht="16.5" customHeight="1">
      <c r="A96" s="124">
        <v>2</v>
      </c>
      <c r="B96" s="290" t="s">
        <v>527</v>
      </c>
      <c r="C96" s="293">
        <v>49838</v>
      </c>
      <c r="D96" s="224">
        <v>1</v>
      </c>
      <c r="E96" s="230">
        <v>656</v>
      </c>
      <c r="F96" s="231">
        <f t="shared" si="20"/>
        <v>656</v>
      </c>
      <c r="G96" s="252"/>
      <c r="H96" s="231">
        <v>130.7</v>
      </c>
      <c r="I96" s="151">
        <f t="shared" si="21"/>
        <v>85739.2</v>
      </c>
      <c r="J96" s="329">
        <f>D96*641.6</f>
        <v>641.6</v>
      </c>
      <c r="K96" s="151">
        <f t="shared" si="22"/>
        <v>641.6</v>
      </c>
      <c r="L96" s="254"/>
      <c r="M96" s="231">
        <f>H96</f>
        <v>130.7</v>
      </c>
      <c r="N96" s="151">
        <f t="shared" si="23"/>
        <v>83857.12</v>
      </c>
      <c r="O96" s="233">
        <v>0</v>
      </c>
      <c r="P96" s="231">
        <f t="shared" si="24"/>
        <v>0</v>
      </c>
      <c r="Q96" s="151">
        <f t="shared" si="25"/>
        <v>0</v>
      </c>
      <c r="R96" s="231">
        <f t="shared" si="26"/>
        <v>0</v>
      </c>
    </row>
    <row r="97" spans="1:18" s="126" customFormat="1" ht="16.5" customHeight="1">
      <c r="A97" s="124">
        <v>2</v>
      </c>
      <c r="B97" s="290" t="s">
        <v>528</v>
      </c>
      <c r="C97" s="293">
        <v>49838</v>
      </c>
      <c r="D97" s="224">
        <v>0</v>
      </c>
      <c r="E97" s="230">
        <v>0</v>
      </c>
      <c r="F97" s="231">
        <f t="shared" si="20"/>
        <v>0</v>
      </c>
      <c r="G97" s="252"/>
      <c r="H97" s="231">
        <v>130.7</v>
      </c>
      <c r="I97" s="151">
        <f t="shared" si="21"/>
        <v>0</v>
      </c>
      <c r="J97" s="329">
        <f>D97*759.3</f>
        <v>0</v>
      </c>
      <c r="K97" s="151">
        <f t="shared" si="22"/>
        <v>0</v>
      </c>
      <c r="L97" s="254"/>
      <c r="M97" s="231">
        <f>H97</f>
        <v>130.7</v>
      </c>
      <c r="N97" s="151">
        <f t="shared" si="23"/>
        <v>0</v>
      </c>
      <c r="O97" s="233">
        <v>0</v>
      </c>
      <c r="P97" s="231">
        <f t="shared" si="24"/>
        <v>0</v>
      </c>
      <c r="Q97" s="151">
        <f t="shared" si="25"/>
        <v>0</v>
      </c>
      <c r="R97" s="231">
        <f t="shared" si="26"/>
        <v>0</v>
      </c>
    </row>
    <row r="98" spans="1:27" s="257" customFormat="1" ht="16.5" customHeight="1">
      <c r="A98" s="124">
        <v>2</v>
      </c>
      <c r="B98" s="126" t="s">
        <v>529</v>
      </c>
      <c r="C98" s="293"/>
      <c r="D98" s="224">
        <v>1</v>
      </c>
      <c r="E98" s="230">
        <v>8.8</v>
      </c>
      <c r="F98" s="231">
        <f t="shared" si="20"/>
        <v>8.8</v>
      </c>
      <c r="G98" s="252">
        <v>50</v>
      </c>
      <c r="H98" s="231">
        <f aca="true" t="shared" si="27" ref="H98:H103">G98*2.54</f>
        <v>127</v>
      </c>
      <c r="I98" s="151">
        <f t="shared" si="21"/>
        <v>1117.6000000000001</v>
      </c>
      <c r="J98" s="253">
        <f>E98/SS_Density</f>
        <v>1.0962999875420458</v>
      </c>
      <c r="K98" s="151">
        <f t="shared" si="22"/>
        <v>1.0962999875420458</v>
      </c>
      <c r="L98" s="254">
        <f aca="true" t="shared" si="28" ref="L98:L103">G98</f>
        <v>50</v>
      </c>
      <c r="M98" s="231">
        <f aca="true" t="shared" si="29" ref="M98:M103">L98*2.54</f>
        <v>127</v>
      </c>
      <c r="N98" s="151">
        <f t="shared" si="23"/>
        <v>139.23009841783983</v>
      </c>
      <c r="O98" s="233">
        <v>0</v>
      </c>
      <c r="P98" s="231">
        <f t="shared" si="24"/>
        <v>0</v>
      </c>
      <c r="Q98" s="151">
        <f t="shared" si="25"/>
        <v>0</v>
      </c>
      <c r="R98" s="231">
        <f t="shared" si="26"/>
        <v>0</v>
      </c>
      <c r="S98" s="255"/>
      <c r="T98" s="255"/>
      <c r="U98" s="255"/>
      <c r="V98" s="256"/>
      <c r="W98" s="255"/>
      <c r="X98" s="255"/>
      <c r="Y98" s="255"/>
      <c r="Z98" s="255"/>
      <c r="AA98" s="255"/>
    </row>
    <row r="99" spans="1:27" s="290" customFormat="1" ht="16.5" customHeight="1">
      <c r="A99" s="124">
        <v>2</v>
      </c>
      <c r="B99" s="290" t="s">
        <v>530</v>
      </c>
      <c r="C99" s="293">
        <v>49839</v>
      </c>
      <c r="D99" s="224">
        <v>1</v>
      </c>
      <c r="E99" s="230">
        <v>120.4</v>
      </c>
      <c r="F99" s="231">
        <f t="shared" si="20"/>
        <v>120.4</v>
      </c>
      <c r="G99" s="252">
        <v>67.578</v>
      </c>
      <c r="H99" s="231">
        <f t="shared" si="27"/>
        <v>171.64812</v>
      </c>
      <c r="I99" s="151">
        <f t="shared" si="21"/>
        <v>20666.433648000002</v>
      </c>
      <c r="J99" s="253">
        <f>E99/Material!B16</f>
        <v>99.50413223140497</v>
      </c>
      <c r="K99" s="151">
        <f t="shared" si="22"/>
        <v>99.50413223140497</v>
      </c>
      <c r="L99" s="254">
        <f t="shared" si="28"/>
        <v>67.578</v>
      </c>
      <c r="M99" s="231">
        <f t="shared" si="29"/>
        <v>171.64812</v>
      </c>
      <c r="N99" s="151">
        <f t="shared" si="23"/>
        <v>17079.69722975207</v>
      </c>
      <c r="O99" s="233">
        <v>0</v>
      </c>
      <c r="P99" s="231">
        <f t="shared" si="24"/>
        <v>0</v>
      </c>
      <c r="Q99" s="151">
        <f t="shared" si="25"/>
        <v>0</v>
      </c>
      <c r="R99" s="231">
        <f t="shared" si="26"/>
        <v>0</v>
      </c>
      <c r="S99" s="126"/>
      <c r="T99" s="126"/>
      <c r="U99" s="126"/>
      <c r="V99" s="151"/>
      <c r="W99" s="126"/>
      <c r="X99" s="126"/>
      <c r="Y99" s="126"/>
      <c r="Z99" s="126"/>
      <c r="AA99" s="126"/>
    </row>
    <row r="100" spans="1:27" s="290" customFormat="1" ht="16.5" customHeight="1">
      <c r="A100" s="124">
        <v>2</v>
      </c>
      <c r="B100" s="330" t="s">
        <v>531</v>
      </c>
      <c r="C100" s="331"/>
      <c r="D100" s="224">
        <v>1</v>
      </c>
      <c r="E100" s="230">
        <v>20.4</v>
      </c>
      <c r="F100" s="227">
        <f t="shared" si="20"/>
        <v>20.4</v>
      </c>
      <c r="G100" s="284">
        <v>67.75</v>
      </c>
      <c r="H100" s="227">
        <f t="shared" si="27"/>
        <v>172.085</v>
      </c>
      <c r="I100" s="280">
        <f t="shared" si="21"/>
        <v>3510.534</v>
      </c>
      <c r="J100" s="253">
        <f>E100/SS_Density</f>
        <v>2.541422698392924</v>
      </c>
      <c r="K100" s="280">
        <f t="shared" si="22"/>
        <v>2.541422698392924</v>
      </c>
      <c r="L100" s="142">
        <f t="shared" si="28"/>
        <v>67.75</v>
      </c>
      <c r="M100" s="227">
        <f t="shared" si="29"/>
        <v>172.085</v>
      </c>
      <c r="N100" s="151">
        <f t="shared" si="23"/>
        <v>437.3407250529463</v>
      </c>
      <c r="O100" s="233">
        <v>0</v>
      </c>
      <c r="P100" s="227">
        <f t="shared" si="24"/>
        <v>0</v>
      </c>
      <c r="Q100" s="280">
        <f t="shared" si="25"/>
        <v>0</v>
      </c>
      <c r="R100" s="231">
        <f t="shared" si="26"/>
        <v>0</v>
      </c>
      <c r="S100" s="332"/>
      <c r="T100" s="333"/>
      <c r="U100" s="126"/>
      <c r="V100" s="151"/>
      <c r="W100" s="126"/>
      <c r="X100" s="126"/>
      <c r="Y100" s="126"/>
      <c r="Z100" s="126"/>
      <c r="AA100" s="126"/>
    </row>
    <row r="101" spans="1:27" s="290" customFormat="1" ht="16.5" customHeight="1">
      <c r="A101" s="124">
        <v>2</v>
      </c>
      <c r="B101" s="291" t="s">
        <v>532</v>
      </c>
      <c r="C101" s="294">
        <v>57651</v>
      </c>
      <c r="D101" s="224">
        <v>1</v>
      </c>
      <c r="E101" s="230">
        <v>220</v>
      </c>
      <c r="F101" s="227">
        <f t="shared" si="20"/>
        <v>220</v>
      </c>
      <c r="G101" s="284">
        <v>54.3</v>
      </c>
      <c r="H101" s="227">
        <f t="shared" si="27"/>
        <v>137.922</v>
      </c>
      <c r="I101" s="280">
        <f t="shared" si="21"/>
        <v>30342.84</v>
      </c>
      <c r="J101" s="253">
        <f>E101/Material!B16</f>
        <v>181.8181818181818</v>
      </c>
      <c r="K101" s="280">
        <f t="shared" si="22"/>
        <v>181.8181818181818</v>
      </c>
      <c r="L101" s="142">
        <f t="shared" si="28"/>
        <v>54.3</v>
      </c>
      <c r="M101" s="142">
        <f t="shared" si="29"/>
        <v>137.922</v>
      </c>
      <c r="N101" s="280">
        <f t="shared" si="23"/>
        <v>25076.727272727272</v>
      </c>
      <c r="O101" s="233">
        <v>1.65</v>
      </c>
      <c r="P101" s="227">
        <f t="shared" si="24"/>
        <v>4.191</v>
      </c>
      <c r="Q101" s="280">
        <f t="shared" si="25"/>
        <v>922.02</v>
      </c>
      <c r="R101" s="231">
        <f t="shared" si="26"/>
        <v>762</v>
      </c>
      <c r="S101" s="129"/>
      <c r="T101" s="129"/>
      <c r="U101" s="126"/>
      <c r="V101" s="151"/>
      <c r="W101" s="126"/>
      <c r="X101" s="126"/>
      <c r="Y101" s="126"/>
      <c r="Z101" s="126"/>
      <c r="AA101" s="126"/>
    </row>
    <row r="102" spans="1:27" s="290" customFormat="1" ht="16.5" customHeight="1">
      <c r="A102" s="124">
        <v>2</v>
      </c>
      <c r="B102" s="311" t="s">
        <v>533</v>
      </c>
      <c r="C102" s="294">
        <v>57651</v>
      </c>
      <c r="D102" s="224">
        <v>1</v>
      </c>
      <c r="E102" s="230">
        <v>218</v>
      </c>
      <c r="F102" s="227">
        <f t="shared" si="20"/>
        <v>218</v>
      </c>
      <c r="G102" s="284">
        <v>54.3</v>
      </c>
      <c r="H102" s="227">
        <f t="shared" si="27"/>
        <v>137.922</v>
      </c>
      <c r="I102" s="280">
        <f t="shared" si="21"/>
        <v>30066.996</v>
      </c>
      <c r="J102" s="253">
        <f>E102/Material!B16</f>
        <v>180.16528925619835</v>
      </c>
      <c r="K102" s="280">
        <f t="shared" si="22"/>
        <v>180.16528925619835</v>
      </c>
      <c r="L102" s="142">
        <f t="shared" si="28"/>
        <v>54.3</v>
      </c>
      <c r="M102" s="142">
        <f t="shared" si="29"/>
        <v>137.922</v>
      </c>
      <c r="N102" s="280">
        <f t="shared" si="23"/>
        <v>24848.757024793387</v>
      </c>
      <c r="O102" s="233">
        <v>-1.65</v>
      </c>
      <c r="P102" s="227">
        <f t="shared" si="24"/>
        <v>-4.191</v>
      </c>
      <c r="Q102" s="280">
        <f t="shared" si="25"/>
        <v>-913.6379999999999</v>
      </c>
      <c r="R102" s="231">
        <f t="shared" si="26"/>
        <v>-755.0727272727272</v>
      </c>
      <c r="S102" s="129"/>
      <c r="T102" s="129"/>
      <c r="U102" s="126"/>
      <c r="V102" s="151"/>
      <c r="W102" s="126"/>
      <c r="X102" s="126"/>
      <c r="Y102" s="126"/>
      <c r="Z102" s="126"/>
      <c r="AA102" s="126"/>
    </row>
    <row r="103" spans="1:27" s="290" customFormat="1" ht="16.5" customHeight="1">
      <c r="A103" s="124"/>
      <c r="B103" s="311" t="s">
        <v>534</v>
      </c>
      <c r="C103" s="294">
        <v>56912</v>
      </c>
      <c r="D103" s="224">
        <v>1</v>
      </c>
      <c r="E103" s="230">
        <v>17.6</v>
      </c>
      <c r="F103" s="227">
        <f t="shared" si="20"/>
        <v>17.6</v>
      </c>
      <c r="G103" s="284">
        <v>54.3</v>
      </c>
      <c r="H103" s="227">
        <f t="shared" si="27"/>
        <v>137.922</v>
      </c>
      <c r="I103" s="280">
        <f t="shared" si="21"/>
        <v>2427.4272</v>
      </c>
      <c r="J103" s="253">
        <f>F103/SS_Density</f>
        <v>2.1925999750840917</v>
      </c>
      <c r="K103" s="280">
        <f t="shared" si="22"/>
        <v>2.1925999750840917</v>
      </c>
      <c r="L103" s="142">
        <f t="shared" si="28"/>
        <v>54.3</v>
      </c>
      <c r="M103" s="142">
        <f t="shared" si="29"/>
        <v>137.922</v>
      </c>
      <c r="N103" s="280">
        <f t="shared" si="23"/>
        <v>302.4077737635481</v>
      </c>
      <c r="O103" s="233">
        <v>0</v>
      </c>
      <c r="P103" s="227">
        <f t="shared" si="24"/>
        <v>0</v>
      </c>
      <c r="Q103" s="280">
        <f t="shared" si="25"/>
        <v>0</v>
      </c>
      <c r="R103" s="231">
        <f t="shared" si="26"/>
        <v>0</v>
      </c>
      <c r="S103" s="129"/>
      <c r="T103" s="129"/>
      <c r="U103" s="126"/>
      <c r="V103" s="151"/>
      <c r="W103" s="126"/>
      <c r="X103" s="126"/>
      <c r="Y103" s="126"/>
      <c r="Z103" s="126"/>
      <c r="AA103" s="126"/>
    </row>
    <row r="104" spans="1:27" s="114" customFormat="1" ht="16.5" customHeight="1">
      <c r="A104" s="111"/>
      <c r="B104" s="149"/>
      <c r="C104" s="11"/>
      <c r="D104" s="334"/>
      <c r="E104" s="230"/>
      <c r="G104" s="335"/>
      <c r="H104" s="149"/>
      <c r="I104" s="116"/>
      <c r="J104" s="336"/>
      <c r="K104" s="116"/>
      <c r="L104" s="337"/>
      <c r="M104" s="149"/>
      <c r="N104" s="116"/>
      <c r="O104" s="338"/>
      <c r="P104" s="149"/>
      <c r="Q104" s="116"/>
      <c r="R104" s="149"/>
      <c r="S104" s="112"/>
      <c r="T104" s="112"/>
      <c r="U104" s="112"/>
      <c r="V104" s="148"/>
      <c r="W104" s="112"/>
      <c r="X104" s="112"/>
      <c r="Y104" s="112"/>
      <c r="Z104" s="112"/>
      <c r="AA104" s="112"/>
    </row>
    <row r="105" spans="1:27" s="147" customFormat="1" ht="16.5" customHeight="1">
      <c r="A105" s="121">
        <v>2</v>
      </c>
      <c r="B105" s="147" t="s">
        <v>535</v>
      </c>
      <c r="C105" s="121">
        <v>49841</v>
      </c>
      <c r="D105" s="206"/>
      <c r="E105" s="339"/>
      <c r="F105" s="149"/>
      <c r="G105" s="323"/>
      <c r="H105" s="217"/>
      <c r="I105" s="219"/>
      <c r="J105" s="324"/>
      <c r="K105" s="219"/>
      <c r="L105" s="325"/>
      <c r="M105" s="217"/>
      <c r="N105" s="219"/>
      <c r="O105" s="326"/>
      <c r="P105" s="217"/>
      <c r="Q105" s="219"/>
      <c r="R105" s="217"/>
      <c r="S105" s="218"/>
      <c r="T105" s="218"/>
      <c r="U105" s="218"/>
      <c r="V105" s="219"/>
      <c r="W105" s="218"/>
      <c r="X105" s="218"/>
      <c r="Y105" s="218"/>
      <c r="Z105" s="218"/>
      <c r="AA105" s="218"/>
    </row>
    <row r="106" spans="1:27" s="147" customFormat="1" ht="16.5" customHeight="1">
      <c r="A106" s="121"/>
      <c r="B106" s="6" t="s">
        <v>595</v>
      </c>
      <c r="C106" s="149">
        <f>SUM(F108:F109)</f>
        <v>542</v>
      </c>
      <c r="D106" s="220" t="s">
        <v>648</v>
      </c>
      <c r="E106" s="340" t="s">
        <v>656</v>
      </c>
      <c r="F106" s="149"/>
      <c r="G106" s="323"/>
      <c r="H106" s="217"/>
      <c r="J106" s="324"/>
      <c r="L106" s="325"/>
      <c r="M106" s="217"/>
      <c r="N106" s="219"/>
      <c r="O106" s="326"/>
      <c r="P106" s="217"/>
      <c r="Q106" s="219"/>
      <c r="R106" s="217"/>
      <c r="S106" s="218"/>
      <c r="T106" s="218"/>
      <c r="U106" s="218"/>
      <c r="V106" s="219"/>
      <c r="W106" s="218"/>
      <c r="X106" s="218"/>
      <c r="Y106" s="218"/>
      <c r="Z106" s="218"/>
      <c r="AA106" s="218"/>
    </row>
    <row r="107" spans="1:32" s="274" customFormat="1" ht="16.5" customHeight="1">
      <c r="A107" s="272"/>
      <c r="B107" s="153" t="s">
        <v>584</v>
      </c>
      <c r="C107" s="230">
        <v>542</v>
      </c>
      <c r="D107" s="220" t="s">
        <v>648</v>
      </c>
      <c r="E107" s="341">
        <f>C107-C106</f>
        <v>0</v>
      </c>
      <c r="I107" s="275"/>
      <c r="O107" s="276"/>
      <c r="S107"/>
      <c r="T107"/>
      <c r="U107"/>
      <c r="V107"/>
      <c r="W107"/>
      <c r="X107"/>
      <c r="Y107"/>
      <c r="Z107"/>
      <c r="AA107"/>
      <c r="AB107"/>
      <c r="AC107"/>
      <c r="AD107"/>
      <c r="AE107"/>
      <c r="AF107"/>
    </row>
    <row r="108" spans="1:27" s="290" customFormat="1" ht="40.5" customHeight="1">
      <c r="A108" s="124">
        <v>3</v>
      </c>
      <c r="B108" s="342" t="s">
        <v>536</v>
      </c>
      <c r="C108" s="343" t="s">
        <v>537</v>
      </c>
      <c r="D108" s="224">
        <v>1</v>
      </c>
      <c r="E108" s="230">
        <v>542</v>
      </c>
      <c r="F108" s="142">
        <f>E108*D108</f>
        <v>542</v>
      </c>
      <c r="G108" s="284">
        <v>81.305</v>
      </c>
      <c r="H108" s="284">
        <f>G108*2.54</f>
        <v>206.51470000000003</v>
      </c>
      <c r="I108" s="344">
        <f>F108*H108</f>
        <v>111930.96740000002</v>
      </c>
      <c r="J108" s="232">
        <v>355.5</v>
      </c>
      <c r="K108" s="344">
        <f>J108*D108</f>
        <v>355.5</v>
      </c>
      <c r="L108" s="284">
        <v>81.305</v>
      </c>
      <c r="M108" s="142">
        <f>L108*2.54</f>
        <v>206.51470000000003</v>
      </c>
      <c r="N108" s="344">
        <f>K108*M108</f>
        <v>73415.97585000002</v>
      </c>
      <c r="O108" s="233">
        <v>0</v>
      </c>
      <c r="P108" s="142">
        <f>O108*2.54</f>
        <v>0</v>
      </c>
      <c r="Q108" s="344">
        <f>F108*P108</f>
        <v>0</v>
      </c>
      <c r="R108" s="231">
        <f>K108*P108</f>
        <v>0</v>
      </c>
      <c r="S108" s="332"/>
      <c r="T108" s="333"/>
      <c r="U108" s="126"/>
      <c r="V108" s="151"/>
      <c r="W108" s="126"/>
      <c r="X108" s="126"/>
      <c r="Y108" s="126"/>
      <c r="Z108" s="126"/>
      <c r="AA108" s="126"/>
    </row>
    <row r="109" spans="1:27" s="272" customFormat="1" ht="16.5" customHeight="1">
      <c r="A109" s="124">
        <v>3</v>
      </c>
      <c r="B109" s="290" t="s">
        <v>538</v>
      </c>
      <c r="C109" s="124">
        <v>52481</v>
      </c>
      <c r="D109" s="224">
        <v>0</v>
      </c>
      <c r="E109" s="297" t="s">
        <v>539</v>
      </c>
      <c r="F109" s="231"/>
      <c r="G109" s="252"/>
      <c r="H109" s="231"/>
      <c r="I109" s="151"/>
      <c r="J109" s="253"/>
      <c r="K109" s="288"/>
      <c r="L109" s="254"/>
      <c r="M109" s="231"/>
      <c r="N109" s="151"/>
      <c r="O109" s="233"/>
      <c r="P109" s="231"/>
      <c r="Q109" s="151"/>
      <c r="R109" s="231"/>
      <c r="S109" s="345"/>
      <c r="T109" s="345"/>
      <c r="U109" s="345"/>
      <c r="V109" s="346"/>
      <c r="W109" s="345"/>
      <c r="X109" s="345"/>
      <c r="Y109" s="345"/>
      <c r="Z109" s="345"/>
      <c r="AA109" s="345"/>
    </row>
    <row r="110" spans="1:27" s="272" customFormat="1" ht="16.5" customHeight="1">
      <c r="A110" s="124"/>
      <c r="B110" s="290"/>
      <c r="C110" s="124"/>
      <c r="D110" s="224"/>
      <c r="E110" s="297"/>
      <c r="F110" s="231"/>
      <c r="G110" s="252"/>
      <c r="H110" s="231"/>
      <c r="I110" s="151"/>
      <c r="J110" s="253"/>
      <c r="K110" s="288"/>
      <c r="L110" s="254"/>
      <c r="M110" s="231"/>
      <c r="N110" s="151"/>
      <c r="O110" s="233"/>
      <c r="P110" s="231"/>
      <c r="Q110" s="151"/>
      <c r="R110" s="231"/>
      <c r="S110" s="345"/>
      <c r="T110" s="345"/>
      <c r="U110" s="345"/>
      <c r="V110" s="346"/>
      <c r="W110" s="345"/>
      <c r="X110" s="345"/>
      <c r="Y110" s="345"/>
      <c r="Z110" s="345"/>
      <c r="AA110" s="345"/>
    </row>
    <row r="111" spans="1:27" s="272" customFormat="1" ht="16.5" customHeight="1">
      <c r="A111" s="272">
        <v>2</v>
      </c>
      <c r="B111" s="274" t="s">
        <v>540</v>
      </c>
      <c r="C111" s="272">
        <v>55841</v>
      </c>
      <c r="D111" s="224"/>
      <c r="E111" s="297"/>
      <c r="F111" s="231"/>
      <c r="G111" s="252"/>
      <c r="H111" s="231"/>
      <c r="I111" s="151"/>
      <c r="J111" s="253"/>
      <c r="K111" s="288"/>
      <c r="L111" s="254"/>
      <c r="M111" s="231"/>
      <c r="N111" s="151"/>
      <c r="O111" s="233"/>
      <c r="P111" s="231"/>
      <c r="Q111" s="151"/>
      <c r="R111" s="231"/>
      <c r="S111" s="345"/>
      <c r="T111" s="345"/>
      <c r="U111" s="345"/>
      <c r="V111" s="346"/>
      <c r="W111" s="345"/>
      <c r="X111" s="345"/>
      <c r="Y111" s="345"/>
      <c r="Z111" s="345"/>
      <c r="AA111" s="345"/>
    </row>
    <row r="112" spans="1:27" s="147" customFormat="1" ht="16.5" customHeight="1">
      <c r="A112" s="121"/>
      <c r="B112" s="6" t="s">
        <v>595</v>
      </c>
      <c r="C112" s="149">
        <f>SUM(F114:F114)</f>
        <v>0</v>
      </c>
      <c r="D112" s="220" t="s">
        <v>648</v>
      </c>
      <c r="E112" s="340" t="s">
        <v>656</v>
      </c>
      <c r="F112" s="149"/>
      <c r="G112" s="323"/>
      <c r="H112" s="217"/>
      <c r="J112" s="324"/>
      <c r="L112" s="325"/>
      <c r="M112" s="217"/>
      <c r="N112" s="219"/>
      <c r="O112" s="326"/>
      <c r="P112" s="217"/>
      <c r="Q112" s="219"/>
      <c r="R112" s="217"/>
      <c r="S112" s="218"/>
      <c r="T112" s="218"/>
      <c r="U112" s="218"/>
      <c r="V112" s="219"/>
      <c r="W112" s="218"/>
      <c r="X112" s="218"/>
      <c r="Y112" s="218"/>
      <c r="Z112" s="218"/>
      <c r="AA112" s="218"/>
    </row>
    <row r="113" spans="1:32" s="274" customFormat="1" ht="16.5" customHeight="1">
      <c r="A113" s="272"/>
      <c r="B113" s="153" t="s">
        <v>584</v>
      </c>
      <c r="C113" s="230">
        <v>0</v>
      </c>
      <c r="D113" s="220" t="s">
        <v>648</v>
      </c>
      <c r="E113" s="341">
        <f>C113-C112</f>
        <v>0</v>
      </c>
      <c r="I113" s="275"/>
      <c r="O113" s="276"/>
      <c r="S113"/>
      <c r="T113"/>
      <c r="U113"/>
      <c r="V113"/>
      <c r="W113"/>
      <c r="X113"/>
      <c r="Y113"/>
      <c r="Z113"/>
      <c r="AA113"/>
      <c r="AB113"/>
      <c r="AC113"/>
      <c r="AD113"/>
      <c r="AE113"/>
      <c r="AF113"/>
    </row>
    <row r="114" spans="1:27" s="257" customFormat="1" ht="40.5" customHeight="1">
      <c r="A114" s="124">
        <v>3</v>
      </c>
      <c r="B114" s="289" t="s">
        <v>541</v>
      </c>
      <c r="C114" s="347" t="s">
        <v>542</v>
      </c>
      <c r="D114" s="224">
        <v>1</v>
      </c>
      <c r="E114" s="230">
        <v>0</v>
      </c>
      <c r="F114" s="231">
        <f>E114*D114</f>
        <v>0</v>
      </c>
      <c r="G114" s="252">
        <v>56.37</v>
      </c>
      <c r="H114" s="231">
        <f>G114*2.54</f>
        <v>143.1798</v>
      </c>
      <c r="I114" s="151">
        <f>F114*H114</f>
        <v>0</v>
      </c>
      <c r="J114" s="253">
        <v>105.22</v>
      </c>
      <c r="K114" s="151">
        <f>J114*D114</f>
        <v>105.22</v>
      </c>
      <c r="L114" s="231">
        <f>G114</f>
        <v>56.37</v>
      </c>
      <c r="M114" s="231">
        <f>L114*2.54</f>
        <v>143.1798</v>
      </c>
      <c r="N114" s="151">
        <f>K114*M114</f>
        <v>15065.378556</v>
      </c>
      <c r="O114" s="233">
        <v>2.5</v>
      </c>
      <c r="P114" s="231">
        <f>O114*2.54</f>
        <v>6.35</v>
      </c>
      <c r="Q114" s="151">
        <f>F114*P114</f>
        <v>0</v>
      </c>
      <c r="R114" s="231">
        <f>K114*P114</f>
        <v>668.1469999999999</v>
      </c>
      <c r="S114" s="255"/>
      <c r="T114" s="255"/>
      <c r="U114" s="255"/>
      <c r="V114" s="256"/>
      <c r="W114" s="255"/>
      <c r="X114" s="255"/>
      <c r="Y114" s="255"/>
      <c r="Z114" s="255"/>
      <c r="AA114" s="255"/>
    </row>
    <row r="115" spans="1:27" s="257" customFormat="1" ht="16.5" customHeight="1">
      <c r="A115" s="124"/>
      <c r="B115" s="290"/>
      <c r="C115" s="251"/>
      <c r="D115" s="224"/>
      <c r="E115" s="230"/>
      <c r="F115" s="231"/>
      <c r="G115" s="252"/>
      <c r="H115" s="231"/>
      <c r="I115" s="151"/>
      <c r="J115" s="253"/>
      <c r="K115" s="151"/>
      <c r="L115" s="231"/>
      <c r="M115" s="231"/>
      <c r="N115" s="151"/>
      <c r="O115" s="233"/>
      <c r="P115" s="231"/>
      <c r="Q115" s="151"/>
      <c r="R115" s="231"/>
      <c r="S115" s="255"/>
      <c r="T115" s="255"/>
      <c r="U115" s="255"/>
      <c r="V115" s="256"/>
      <c r="W115" s="255"/>
      <c r="X115" s="255"/>
      <c r="Y115" s="255"/>
      <c r="Z115" s="255"/>
      <c r="AA115" s="255"/>
    </row>
    <row r="116" spans="1:27" s="272" customFormat="1" ht="16.5" customHeight="1">
      <c r="A116" s="272">
        <v>2</v>
      </c>
      <c r="B116" s="274" t="s">
        <v>543</v>
      </c>
      <c r="C116" s="272">
        <v>55482</v>
      </c>
      <c r="D116" s="224"/>
      <c r="E116" s="297"/>
      <c r="F116" s="231"/>
      <c r="G116" s="252"/>
      <c r="H116" s="231"/>
      <c r="I116" s="151"/>
      <c r="J116" s="253"/>
      <c r="K116" s="288"/>
      <c r="L116" s="254"/>
      <c r="M116" s="231"/>
      <c r="N116" s="151"/>
      <c r="O116" s="233"/>
      <c r="P116" s="231"/>
      <c r="Q116" s="151"/>
      <c r="R116" s="231"/>
      <c r="S116" s="345"/>
      <c r="T116" s="345"/>
      <c r="U116" s="345"/>
      <c r="V116" s="346"/>
      <c r="W116" s="345"/>
      <c r="X116" s="345"/>
      <c r="Y116" s="345"/>
      <c r="Z116" s="345"/>
      <c r="AA116" s="345"/>
    </row>
    <row r="117" spans="1:27" s="147" customFormat="1" ht="16.5" customHeight="1">
      <c r="A117" s="121"/>
      <c r="B117" s="6" t="s">
        <v>595</v>
      </c>
      <c r="C117" s="149">
        <f>SUM(F119:F121)</f>
        <v>0</v>
      </c>
      <c r="D117" s="220" t="s">
        <v>648</v>
      </c>
      <c r="E117" s="340" t="s">
        <v>656</v>
      </c>
      <c r="F117" s="149"/>
      <c r="G117" s="323"/>
      <c r="H117" s="217"/>
      <c r="J117" s="324"/>
      <c r="L117" s="325"/>
      <c r="M117" s="217"/>
      <c r="N117" s="219"/>
      <c r="O117" s="326"/>
      <c r="P117" s="217"/>
      <c r="Q117" s="219"/>
      <c r="R117" s="217"/>
      <c r="S117" s="218"/>
      <c r="T117" s="218"/>
      <c r="U117" s="218"/>
      <c r="V117" s="219"/>
      <c r="W117" s="218"/>
      <c r="X117" s="218"/>
      <c r="Y117" s="218"/>
      <c r="Z117" s="218"/>
      <c r="AA117" s="218"/>
    </row>
    <row r="118" spans="1:32" s="274" customFormat="1" ht="16.5" customHeight="1">
      <c r="A118" s="272"/>
      <c r="B118" s="153" t="s">
        <v>584</v>
      </c>
      <c r="C118" s="230">
        <v>0</v>
      </c>
      <c r="D118" s="220" t="s">
        <v>648</v>
      </c>
      <c r="E118" s="341">
        <f>C118-C117</f>
        <v>0</v>
      </c>
      <c r="I118" s="275"/>
      <c r="O118" s="276"/>
      <c r="S118"/>
      <c r="T118"/>
      <c r="U118"/>
      <c r="V118"/>
      <c r="W118"/>
      <c r="X118"/>
      <c r="Y118"/>
      <c r="Z118"/>
      <c r="AA118"/>
      <c r="AB118"/>
      <c r="AC118"/>
      <c r="AD118"/>
      <c r="AE118"/>
      <c r="AF118"/>
    </row>
    <row r="119" spans="1:27" s="257" customFormat="1" ht="49.5" customHeight="1">
      <c r="A119" s="124">
        <v>3</v>
      </c>
      <c r="B119" s="289" t="s">
        <v>544</v>
      </c>
      <c r="C119" s="347" t="s">
        <v>545</v>
      </c>
      <c r="D119" s="224">
        <v>0</v>
      </c>
      <c r="E119" s="230">
        <v>0</v>
      </c>
      <c r="F119" s="231">
        <f>E119*D119</f>
        <v>0</v>
      </c>
      <c r="G119" s="252">
        <v>56.37</v>
      </c>
      <c r="H119" s="231">
        <f>G119*2.54</f>
        <v>143.1798</v>
      </c>
      <c r="I119" s="151">
        <f>F119*H119</f>
        <v>0</v>
      </c>
      <c r="J119" s="253">
        <v>164.7</v>
      </c>
      <c r="K119" s="151">
        <f>J119*D119</f>
        <v>0</v>
      </c>
      <c r="L119" s="231">
        <f>G119</f>
        <v>56.37</v>
      </c>
      <c r="M119" s="231">
        <f>L119*2.54</f>
        <v>143.1798</v>
      </c>
      <c r="N119" s="151">
        <f>K119*M119</f>
        <v>0</v>
      </c>
      <c r="O119" s="233">
        <v>2.5</v>
      </c>
      <c r="P119" s="231">
        <f>O119*2.54</f>
        <v>6.35</v>
      </c>
      <c r="Q119" s="151">
        <f>F119*P119</f>
        <v>0</v>
      </c>
      <c r="R119" s="231">
        <f>K119*P119</f>
        <v>0</v>
      </c>
      <c r="S119" s="255"/>
      <c r="T119" s="255"/>
      <c r="U119" s="255"/>
      <c r="V119" s="256"/>
      <c r="W119" s="255"/>
      <c r="X119" s="255"/>
      <c r="Y119" s="255"/>
      <c r="Z119" s="255"/>
      <c r="AA119" s="255"/>
    </row>
    <row r="120" spans="1:27" s="257" customFormat="1" ht="16.5" customHeight="1">
      <c r="A120" s="124">
        <v>3</v>
      </c>
      <c r="B120" s="290" t="s">
        <v>546</v>
      </c>
      <c r="C120" s="251">
        <v>52236</v>
      </c>
      <c r="D120" s="224">
        <v>0</v>
      </c>
      <c r="E120" s="230">
        <v>0</v>
      </c>
      <c r="F120" s="231">
        <f>E120*D120</f>
        <v>0</v>
      </c>
      <c r="G120" s="252">
        <v>50</v>
      </c>
      <c r="H120" s="231">
        <f>G120*2.54</f>
        <v>127</v>
      </c>
      <c r="I120" s="151">
        <f>F120*H120</f>
        <v>0</v>
      </c>
      <c r="J120" s="253">
        <v>29</v>
      </c>
      <c r="K120" s="151">
        <f>J120*D120</f>
        <v>0</v>
      </c>
      <c r="L120" s="231">
        <f>G120</f>
        <v>50</v>
      </c>
      <c r="M120" s="231">
        <f>L120*2.54</f>
        <v>127</v>
      </c>
      <c r="N120" s="151">
        <f>K120*M120</f>
        <v>0</v>
      </c>
      <c r="O120" s="233">
        <v>2</v>
      </c>
      <c r="P120" s="231">
        <f>O120*2.54</f>
        <v>5.08</v>
      </c>
      <c r="Q120" s="151">
        <f>F120*P120</f>
        <v>0</v>
      </c>
      <c r="R120" s="231">
        <f>K120*P120</f>
        <v>0</v>
      </c>
      <c r="S120" s="255"/>
      <c r="T120" s="255"/>
      <c r="U120" s="255"/>
      <c r="V120" s="256"/>
      <c r="W120" s="255"/>
      <c r="X120" s="255"/>
      <c r="Y120" s="255"/>
      <c r="Z120" s="255"/>
      <c r="AA120" s="255"/>
    </row>
    <row r="121" spans="1:27" s="272" customFormat="1" ht="16.5" customHeight="1">
      <c r="A121" s="124">
        <v>3</v>
      </c>
      <c r="B121" s="290" t="s">
        <v>547</v>
      </c>
      <c r="C121" s="124">
        <v>55518</v>
      </c>
      <c r="D121" s="224">
        <v>0</v>
      </c>
      <c r="E121" s="297" t="s">
        <v>539</v>
      </c>
      <c r="F121" s="231"/>
      <c r="G121" s="252"/>
      <c r="H121" s="231"/>
      <c r="I121" s="151"/>
      <c r="J121" s="253"/>
      <c r="K121" s="288"/>
      <c r="L121" s="254"/>
      <c r="M121" s="231"/>
      <c r="N121" s="151"/>
      <c r="O121" s="233"/>
      <c r="P121" s="231"/>
      <c r="Q121" s="151"/>
      <c r="R121" s="231"/>
      <c r="S121" s="345"/>
      <c r="T121" s="345"/>
      <c r="U121" s="345"/>
      <c r="V121" s="346"/>
      <c r="W121" s="345"/>
      <c r="X121" s="345"/>
      <c r="Y121" s="345"/>
      <c r="Z121" s="345"/>
      <c r="AA121" s="345"/>
    </row>
    <row r="122" spans="2:27" s="272" customFormat="1" ht="16.5" customHeight="1">
      <c r="B122" s="290"/>
      <c r="C122" s="124"/>
      <c r="D122" s="224"/>
      <c r="E122" s="297"/>
      <c r="F122" s="231"/>
      <c r="G122" s="252"/>
      <c r="H122" s="231"/>
      <c r="I122" s="151"/>
      <c r="J122" s="253"/>
      <c r="K122" s="288"/>
      <c r="L122" s="254"/>
      <c r="M122" s="231"/>
      <c r="N122" s="151"/>
      <c r="O122" s="233"/>
      <c r="P122" s="231"/>
      <c r="Q122" s="151"/>
      <c r="R122" s="231"/>
      <c r="S122" s="345"/>
      <c r="T122" s="345"/>
      <c r="U122" s="345"/>
      <c r="V122" s="346"/>
      <c r="W122" s="345"/>
      <c r="X122" s="345"/>
      <c r="Y122" s="345"/>
      <c r="Z122" s="345"/>
      <c r="AA122" s="345"/>
    </row>
    <row r="123" spans="1:27" s="272" customFormat="1" ht="16.5" customHeight="1">
      <c r="A123" s="272">
        <v>2</v>
      </c>
      <c r="B123" s="274" t="s">
        <v>548</v>
      </c>
      <c r="C123" s="272" t="s">
        <v>549</v>
      </c>
      <c r="D123" s="224"/>
      <c r="E123" s="297"/>
      <c r="F123" s="231"/>
      <c r="G123" s="252"/>
      <c r="H123" s="231"/>
      <c r="I123" s="151"/>
      <c r="J123" s="253"/>
      <c r="K123" s="288"/>
      <c r="L123" s="254"/>
      <c r="M123" s="231"/>
      <c r="N123" s="151"/>
      <c r="O123" s="233"/>
      <c r="P123" s="231"/>
      <c r="Q123" s="151"/>
      <c r="R123" s="231"/>
      <c r="S123" s="345"/>
      <c r="T123" s="345"/>
      <c r="U123" s="345"/>
      <c r="V123" s="346"/>
      <c r="W123" s="345"/>
      <c r="X123" s="345"/>
      <c r="Y123" s="345"/>
      <c r="Z123" s="345"/>
      <c r="AA123" s="345"/>
    </row>
    <row r="124" spans="1:27" s="147" customFormat="1" ht="16.5" customHeight="1">
      <c r="A124" s="121"/>
      <c r="B124" s="6" t="s">
        <v>595</v>
      </c>
      <c r="C124" s="149">
        <f>SUM(E126)</f>
        <v>225.6</v>
      </c>
      <c r="D124" s="220" t="s">
        <v>648</v>
      </c>
      <c r="E124" s="340" t="s">
        <v>656</v>
      </c>
      <c r="F124" s="149"/>
      <c r="G124" s="323"/>
      <c r="H124" s="217"/>
      <c r="J124" s="324"/>
      <c r="L124" s="325"/>
      <c r="M124" s="217"/>
      <c r="N124" s="219"/>
      <c r="O124" s="326"/>
      <c r="P124" s="217"/>
      <c r="Q124" s="219"/>
      <c r="R124" s="217"/>
      <c r="S124" s="218"/>
      <c r="T124" s="218"/>
      <c r="U124" s="218"/>
      <c r="V124" s="219"/>
      <c r="W124" s="218"/>
      <c r="X124" s="218"/>
      <c r="Y124" s="218"/>
      <c r="Z124" s="218"/>
      <c r="AA124" s="218"/>
    </row>
    <row r="125" spans="1:32" s="274" customFormat="1" ht="16.5" customHeight="1">
      <c r="A125" s="272"/>
      <c r="B125" s="153" t="s">
        <v>584</v>
      </c>
      <c r="C125" s="230">
        <v>225.6</v>
      </c>
      <c r="D125" s="220" t="s">
        <v>648</v>
      </c>
      <c r="E125" s="341">
        <f>C125-C124</f>
        <v>0</v>
      </c>
      <c r="I125" s="275"/>
      <c r="O125" s="276"/>
      <c r="S125"/>
      <c r="T125"/>
      <c r="U125"/>
      <c r="V125"/>
      <c r="W125"/>
      <c r="X125"/>
      <c r="Y125"/>
      <c r="Z125"/>
      <c r="AA125"/>
      <c r="AB125"/>
      <c r="AC125"/>
      <c r="AD125"/>
      <c r="AE125"/>
      <c r="AF125"/>
    </row>
    <row r="126" spans="1:27" s="257" customFormat="1" ht="32.25" customHeight="1">
      <c r="A126" s="124">
        <v>3</v>
      </c>
      <c r="B126" s="289" t="s">
        <v>17</v>
      </c>
      <c r="C126" s="348" t="s">
        <v>549</v>
      </c>
      <c r="D126" s="224">
        <v>1</v>
      </c>
      <c r="E126" s="230">
        <v>225.6</v>
      </c>
      <c r="F126" s="231">
        <f>E126*D126</f>
        <v>225.6</v>
      </c>
      <c r="G126" s="252">
        <v>60.27</v>
      </c>
      <c r="H126" s="231">
        <f>G126*2.54</f>
        <v>153.0858</v>
      </c>
      <c r="I126" s="151">
        <f>F126*H126</f>
        <v>34536.15648</v>
      </c>
      <c r="J126" s="253">
        <v>147.5</v>
      </c>
      <c r="K126" s="151">
        <f>J126*D126</f>
        <v>147.5</v>
      </c>
      <c r="L126" s="231">
        <f>G126</f>
        <v>60.27</v>
      </c>
      <c r="M126" s="231">
        <f>L126*2.54</f>
        <v>153.0858</v>
      </c>
      <c r="N126" s="151">
        <f>K126*M126</f>
        <v>22580.1555</v>
      </c>
      <c r="O126" s="233">
        <v>1.4</v>
      </c>
      <c r="P126" s="231">
        <f>O126*2.54</f>
        <v>3.5559999999999996</v>
      </c>
      <c r="Q126" s="151">
        <f>F126*P126</f>
        <v>802.2335999999999</v>
      </c>
      <c r="R126" s="231">
        <f>K126*P126</f>
        <v>524.51</v>
      </c>
      <c r="S126" s="255"/>
      <c r="T126" s="255"/>
      <c r="U126" s="255"/>
      <c r="V126" s="256"/>
      <c r="W126" s="255"/>
      <c r="X126" s="255"/>
      <c r="Y126" s="255"/>
      <c r="Z126" s="255"/>
      <c r="AA126" s="255"/>
    </row>
    <row r="127" spans="1:27" s="257" customFormat="1" ht="16.5" customHeight="1">
      <c r="A127" s="124"/>
      <c r="B127" s="289"/>
      <c r="C127" s="348"/>
      <c r="D127" s="224"/>
      <c r="E127" s="230"/>
      <c r="F127" s="231"/>
      <c r="G127" s="252"/>
      <c r="H127" s="231"/>
      <c r="I127" s="151"/>
      <c r="J127" s="253"/>
      <c r="K127" s="151"/>
      <c r="L127" s="231"/>
      <c r="M127" s="231"/>
      <c r="N127" s="151"/>
      <c r="O127" s="233"/>
      <c r="P127" s="231"/>
      <c r="Q127" s="151"/>
      <c r="R127" s="231"/>
      <c r="S127" s="255"/>
      <c r="T127" s="255"/>
      <c r="U127" s="255"/>
      <c r="V127" s="256"/>
      <c r="W127" s="255"/>
      <c r="X127" s="255"/>
      <c r="Y127" s="255"/>
      <c r="Z127" s="255"/>
      <c r="AA127" s="255"/>
    </row>
    <row r="128" spans="1:27" s="272" customFormat="1" ht="16.5" customHeight="1">
      <c r="A128" s="272">
        <v>2</v>
      </c>
      <c r="B128" s="274" t="s">
        <v>550</v>
      </c>
      <c r="C128" s="272">
        <v>55521</v>
      </c>
      <c r="D128" s="224"/>
      <c r="E128" s="297"/>
      <c r="F128" s="231"/>
      <c r="G128" s="252"/>
      <c r="H128" s="231"/>
      <c r="I128" s="151"/>
      <c r="J128" s="253"/>
      <c r="K128" s="288"/>
      <c r="L128" s="254"/>
      <c r="M128" s="231"/>
      <c r="N128" s="151"/>
      <c r="O128" s="233"/>
      <c r="P128" s="231"/>
      <c r="Q128" s="151"/>
      <c r="R128" s="231"/>
      <c r="S128" s="345"/>
      <c r="T128" s="345"/>
      <c r="U128" s="345"/>
      <c r="V128" s="346"/>
      <c r="W128" s="345"/>
      <c r="X128" s="345"/>
      <c r="Y128" s="345"/>
      <c r="Z128" s="345"/>
      <c r="AA128" s="345"/>
    </row>
    <row r="129" spans="1:27" s="147" customFormat="1" ht="16.5" customHeight="1">
      <c r="A129" s="121"/>
      <c r="B129" s="6" t="s">
        <v>595</v>
      </c>
      <c r="C129" s="149">
        <v>235.1</v>
      </c>
      <c r="D129" s="220" t="s">
        <v>648</v>
      </c>
      <c r="E129" s="340" t="s">
        <v>656</v>
      </c>
      <c r="F129" s="149"/>
      <c r="G129" s="323"/>
      <c r="H129" s="217"/>
      <c r="J129" s="324"/>
      <c r="L129" s="325"/>
      <c r="M129" s="217"/>
      <c r="N129" s="219"/>
      <c r="O129" s="326"/>
      <c r="P129" s="217"/>
      <c r="Q129" s="219"/>
      <c r="R129" s="217"/>
      <c r="S129" s="218"/>
      <c r="T129" s="218"/>
      <c r="U129" s="218"/>
      <c r="V129" s="219"/>
      <c r="W129" s="218"/>
      <c r="X129" s="218"/>
      <c r="Y129" s="218"/>
      <c r="Z129" s="218"/>
      <c r="AA129" s="218"/>
    </row>
    <row r="130" spans="1:32" s="274" customFormat="1" ht="16.5" customHeight="1">
      <c r="A130" s="272"/>
      <c r="B130" s="153" t="s">
        <v>584</v>
      </c>
      <c r="C130" s="230">
        <v>235.1</v>
      </c>
      <c r="D130" s="220" t="s">
        <v>648</v>
      </c>
      <c r="E130" s="341">
        <f>C130-C129</f>
        <v>0</v>
      </c>
      <c r="I130" s="275"/>
      <c r="O130" s="276"/>
      <c r="S130"/>
      <c r="T130"/>
      <c r="U130"/>
      <c r="V130"/>
      <c r="W130"/>
      <c r="X130"/>
      <c r="Y130"/>
      <c r="Z130"/>
      <c r="AA130"/>
      <c r="AB130"/>
      <c r="AC130"/>
      <c r="AD130"/>
      <c r="AE130"/>
      <c r="AF130"/>
    </row>
    <row r="131" spans="1:27" s="257" customFormat="1" ht="32.25" customHeight="1">
      <c r="A131" s="124">
        <v>3</v>
      </c>
      <c r="B131" s="289" t="s">
        <v>551</v>
      </c>
      <c r="C131" s="348" t="s">
        <v>552</v>
      </c>
      <c r="D131" s="224">
        <v>1</v>
      </c>
      <c r="E131" s="230">
        <v>0</v>
      </c>
      <c r="F131" s="231">
        <f>E131*D131</f>
        <v>0</v>
      </c>
      <c r="G131" s="252">
        <v>60.15</v>
      </c>
      <c r="H131" s="231">
        <f>G131*2.54</f>
        <v>152.781</v>
      </c>
      <c r="I131" s="151">
        <f>F131*H131</f>
        <v>0</v>
      </c>
      <c r="J131" s="253">
        <v>178.84</v>
      </c>
      <c r="K131" s="151">
        <f>J131*D131</f>
        <v>178.84</v>
      </c>
      <c r="L131" s="231">
        <f>G131</f>
        <v>60.15</v>
      </c>
      <c r="M131" s="231">
        <f>L131*2.54</f>
        <v>152.781</v>
      </c>
      <c r="N131" s="151">
        <f>K131*M131</f>
        <v>27323.354040000002</v>
      </c>
      <c r="O131" s="233">
        <v>-1.237</v>
      </c>
      <c r="P131" s="231">
        <f>O131*2.54</f>
        <v>-3.14198</v>
      </c>
      <c r="Q131" s="151">
        <f>F131*P131</f>
        <v>0</v>
      </c>
      <c r="R131" s="231">
        <f>K131*P131</f>
        <v>-561.9117032</v>
      </c>
      <c r="S131" s="255"/>
      <c r="T131" s="255"/>
      <c r="U131" s="255"/>
      <c r="V131" s="256"/>
      <c r="W131" s="255"/>
      <c r="X131" s="255"/>
      <c r="Y131" s="255"/>
      <c r="Z131" s="255"/>
      <c r="AA131" s="255"/>
    </row>
    <row r="132" spans="1:27" s="257" customFormat="1" ht="16.5" customHeight="1">
      <c r="A132" s="124">
        <v>3</v>
      </c>
      <c r="B132" s="289" t="s">
        <v>553</v>
      </c>
      <c r="C132" s="348" t="s">
        <v>554</v>
      </c>
      <c r="D132" s="224">
        <v>0</v>
      </c>
      <c r="E132" s="230" t="s">
        <v>539</v>
      </c>
      <c r="F132" s="231"/>
      <c r="G132" s="252"/>
      <c r="H132" s="231"/>
      <c r="I132" s="151"/>
      <c r="J132" s="253"/>
      <c r="K132" s="151"/>
      <c r="L132" s="231"/>
      <c r="M132" s="231"/>
      <c r="N132" s="151"/>
      <c r="O132" s="233"/>
      <c r="P132" s="231"/>
      <c r="Q132" s="151"/>
      <c r="R132" s="231"/>
      <c r="S132" s="255"/>
      <c r="T132" s="255"/>
      <c r="U132" s="255"/>
      <c r="V132" s="256"/>
      <c r="W132" s="255"/>
      <c r="X132" s="255"/>
      <c r="Y132" s="255"/>
      <c r="Z132" s="255"/>
      <c r="AA132" s="255"/>
    </row>
    <row r="133" spans="1:27" s="257" customFormat="1" ht="16.5" customHeight="1">
      <c r="A133" s="124"/>
      <c r="B133" s="289"/>
      <c r="C133" s="348"/>
      <c r="D133" s="224"/>
      <c r="E133" s="230"/>
      <c r="F133" s="231"/>
      <c r="G133" s="252"/>
      <c r="H133" s="231"/>
      <c r="I133" s="151"/>
      <c r="J133" s="253"/>
      <c r="K133" s="151"/>
      <c r="L133" s="231"/>
      <c r="M133" s="231"/>
      <c r="N133" s="151"/>
      <c r="O133" s="233"/>
      <c r="P133" s="231"/>
      <c r="Q133" s="151"/>
      <c r="R133" s="231"/>
      <c r="S133" s="255"/>
      <c r="T133" s="255"/>
      <c r="U133" s="255"/>
      <c r="V133" s="256"/>
      <c r="W133" s="255"/>
      <c r="X133" s="255"/>
      <c r="Y133" s="255"/>
      <c r="Z133" s="255"/>
      <c r="AA133" s="255"/>
    </row>
    <row r="134" spans="1:27" s="272" customFormat="1" ht="16.5" customHeight="1">
      <c r="A134" s="272">
        <v>2</v>
      </c>
      <c r="B134" s="274" t="s">
        <v>555</v>
      </c>
      <c r="C134" s="272">
        <v>55521</v>
      </c>
      <c r="D134" s="224"/>
      <c r="E134" s="297"/>
      <c r="F134" s="231"/>
      <c r="G134" s="252"/>
      <c r="H134" s="231"/>
      <c r="I134" s="151"/>
      <c r="J134" s="253"/>
      <c r="K134" s="288"/>
      <c r="L134" s="254"/>
      <c r="M134" s="231"/>
      <c r="N134" s="151"/>
      <c r="O134" s="233"/>
      <c r="P134" s="231"/>
      <c r="Q134" s="151"/>
      <c r="R134" s="231"/>
      <c r="S134" s="345"/>
      <c r="T134" s="345"/>
      <c r="U134" s="345"/>
      <c r="V134" s="346"/>
      <c r="W134" s="345"/>
      <c r="X134" s="345"/>
      <c r="Y134" s="345"/>
      <c r="Z134" s="345"/>
      <c r="AA134" s="345"/>
    </row>
    <row r="135" spans="1:27" s="147" customFormat="1" ht="16.5" customHeight="1">
      <c r="A135" s="121"/>
      <c r="B135" s="6" t="s">
        <v>595</v>
      </c>
      <c r="C135" s="149">
        <f>SUM(E137)</f>
        <v>0</v>
      </c>
      <c r="D135" s="220" t="s">
        <v>648</v>
      </c>
      <c r="E135" s="340" t="s">
        <v>656</v>
      </c>
      <c r="F135" s="149"/>
      <c r="G135" s="323"/>
      <c r="H135" s="217"/>
      <c r="J135" s="324"/>
      <c r="L135" s="325"/>
      <c r="M135" s="217"/>
      <c r="N135" s="219"/>
      <c r="O135" s="326"/>
      <c r="P135" s="217"/>
      <c r="Q135" s="219"/>
      <c r="R135" s="217"/>
      <c r="S135" s="218"/>
      <c r="T135" s="218"/>
      <c r="U135" s="218"/>
      <c r="V135" s="219"/>
      <c r="W135" s="218"/>
      <c r="X135" s="218"/>
      <c r="Y135" s="218"/>
      <c r="Z135" s="218"/>
      <c r="AA135" s="218"/>
    </row>
    <row r="136" spans="1:32" s="274" customFormat="1" ht="16.5" customHeight="1">
      <c r="A136" s="272"/>
      <c r="B136" s="153" t="s">
        <v>584</v>
      </c>
      <c r="C136" s="230">
        <v>0</v>
      </c>
      <c r="D136" s="220" t="s">
        <v>648</v>
      </c>
      <c r="E136" s="341">
        <f>C136-C135</f>
        <v>0</v>
      </c>
      <c r="I136" s="275"/>
      <c r="O136" s="276"/>
      <c r="S136"/>
      <c r="T136"/>
      <c r="U136"/>
      <c r="V136"/>
      <c r="W136"/>
      <c r="X136"/>
      <c r="Y136"/>
      <c r="Z136"/>
      <c r="AA136"/>
      <c r="AB136"/>
      <c r="AC136"/>
      <c r="AD136"/>
      <c r="AE136"/>
      <c r="AF136"/>
    </row>
    <row r="137" spans="1:27" s="257" customFormat="1" ht="32.25" customHeight="1">
      <c r="A137" s="124">
        <v>3</v>
      </c>
      <c r="B137" s="289" t="s">
        <v>448</v>
      </c>
      <c r="C137" s="348" t="s">
        <v>449</v>
      </c>
      <c r="D137" s="224">
        <v>0</v>
      </c>
      <c r="E137" s="230">
        <v>0</v>
      </c>
      <c r="F137" s="231">
        <f>E137*D137</f>
        <v>0</v>
      </c>
      <c r="G137" s="252">
        <v>62.33</v>
      </c>
      <c r="H137" s="231">
        <f>G137*2.54</f>
        <v>158.3182</v>
      </c>
      <c r="I137" s="151">
        <f>F137*H137</f>
        <v>0</v>
      </c>
      <c r="J137" s="253">
        <v>237.64</v>
      </c>
      <c r="K137" s="151">
        <f>J137*D137</f>
        <v>0</v>
      </c>
      <c r="L137" s="231">
        <f>G137</f>
        <v>62.33</v>
      </c>
      <c r="M137" s="231">
        <f>L137*2.54</f>
        <v>158.3182</v>
      </c>
      <c r="N137" s="151">
        <f>K137*M137</f>
        <v>0</v>
      </c>
      <c r="O137" s="233">
        <v>-1.237</v>
      </c>
      <c r="P137" s="231">
        <f>O137*2.54</f>
        <v>-3.14198</v>
      </c>
      <c r="Q137" s="151">
        <f>F137*P137</f>
        <v>0</v>
      </c>
      <c r="R137" s="231">
        <f>K137*P137</f>
        <v>0</v>
      </c>
      <c r="S137" s="255"/>
      <c r="T137" s="255"/>
      <c r="U137" s="255"/>
      <c r="V137" s="256"/>
      <c r="W137" s="255"/>
      <c r="X137" s="255"/>
      <c r="Y137" s="255"/>
      <c r="Z137" s="255"/>
      <c r="AA137" s="255"/>
    </row>
    <row r="138" spans="1:27" s="257" customFormat="1" ht="16.5" customHeight="1">
      <c r="A138" s="124">
        <v>3</v>
      </c>
      <c r="B138" s="289" t="s">
        <v>553</v>
      </c>
      <c r="C138" s="348" t="s">
        <v>554</v>
      </c>
      <c r="D138" s="224">
        <v>0</v>
      </c>
      <c r="E138" s="230" t="s">
        <v>539</v>
      </c>
      <c r="F138" s="231"/>
      <c r="G138" s="252"/>
      <c r="H138" s="231"/>
      <c r="I138" s="151"/>
      <c r="J138" s="253"/>
      <c r="K138" s="151"/>
      <c r="L138" s="231"/>
      <c r="M138" s="231"/>
      <c r="N138" s="151"/>
      <c r="O138" s="233"/>
      <c r="P138" s="231"/>
      <c r="Q138" s="151"/>
      <c r="R138" s="231"/>
      <c r="S138" s="255"/>
      <c r="T138" s="255"/>
      <c r="U138" s="255"/>
      <c r="V138" s="256"/>
      <c r="W138" s="255"/>
      <c r="X138" s="255"/>
      <c r="Y138" s="255"/>
      <c r="Z138" s="255"/>
      <c r="AA138" s="255"/>
    </row>
    <row r="139" spans="1:27" s="257" customFormat="1" ht="16.5" customHeight="1">
      <c r="A139" s="124"/>
      <c r="B139" s="289"/>
      <c r="C139" s="348"/>
      <c r="D139" s="224"/>
      <c r="E139" s="230"/>
      <c r="F139" s="231"/>
      <c r="G139" s="252"/>
      <c r="H139" s="231"/>
      <c r="I139" s="151"/>
      <c r="J139" s="253"/>
      <c r="K139" s="151"/>
      <c r="L139" s="231"/>
      <c r="M139" s="231"/>
      <c r="N139" s="151"/>
      <c r="O139" s="233"/>
      <c r="P139" s="231"/>
      <c r="Q139" s="151"/>
      <c r="R139" s="231"/>
      <c r="S139" s="255"/>
      <c r="T139" s="255"/>
      <c r="U139" s="255"/>
      <c r="V139" s="256"/>
      <c r="W139" s="255"/>
      <c r="X139" s="255"/>
      <c r="Y139" s="255"/>
      <c r="Z139" s="255"/>
      <c r="AA139" s="255"/>
    </row>
    <row r="140" spans="1:22" s="126" customFormat="1" ht="16.5" customHeight="1">
      <c r="A140" s="195"/>
      <c r="B140" s="349"/>
      <c r="C140" s="316"/>
      <c r="D140" s="243"/>
      <c r="E140" s="302"/>
      <c r="F140" s="303"/>
      <c r="G140" s="304"/>
      <c r="H140" s="303"/>
      <c r="I140" s="305"/>
      <c r="J140" s="350"/>
      <c r="K140" s="305"/>
      <c r="L140" s="307"/>
      <c r="M140" s="303"/>
      <c r="N140" s="305"/>
      <c r="O140" s="308"/>
      <c r="P140" s="303"/>
      <c r="Q140" s="305"/>
      <c r="R140" s="303"/>
      <c r="V140" s="151"/>
    </row>
    <row r="141" spans="1:22" s="126" customFormat="1" ht="16.5" customHeight="1">
      <c r="A141" s="203">
        <v>1</v>
      </c>
      <c r="B141" s="351" t="s">
        <v>450</v>
      </c>
      <c r="C141" s="352">
        <v>55486</v>
      </c>
      <c r="D141" s="224"/>
      <c r="E141" s="297"/>
      <c r="F141" s="227"/>
      <c r="G141" s="284"/>
      <c r="H141" s="227"/>
      <c r="I141" s="280"/>
      <c r="J141" s="353"/>
      <c r="K141" s="280"/>
      <c r="L141" s="142"/>
      <c r="M141" s="227"/>
      <c r="N141" s="280"/>
      <c r="O141" s="233"/>
      <c r="P141" s="227"/>
      <c r="Q141" s="280"/>
      <c r="R141" s="227"/>
      <c r="V141" s="151"/>
    </row>
    <row r="142" spans="1:22" s="362" customFormat="1" ht="18" customHeight="1">
      <c r="A142" s="354"/>
      <c r="B142" s="234" t="s">
        <v>595</v>
      </c>
      <c r="C142" s="217">
        <f>C160+C280+C289+C307+C319+SUM(F145:F156)</f>
        <v>38661.9</v>
      </c>
      <c r="D142" s="220" t="s">
        <v>648</v>
      </c>
      <c r="E142" s="355" t="s">
        <v>656</v>
      </c>
      <c r="F142" s="356"/>
      <c r="G142" s="357"/>
      <c r="H142" s="356"/>
      <c r="I142" s="358"/>
      <c r="J142" s="359"/>
      <c r="K142" s="358"/>
      <c r="L142" s="360"/>
      <c r="M142" s="356"/>
      <c r="N142" s="358"/>
      <c r="O142" s="361"/>
      <c r="P142" s="356"/>
      <c r="Q142" s="358"/>
      <c r="R142" s="356"/>
      <c r="V142" s="358"/>
    </row>
    <row r="143" spans="1:22" s="374" customFormat="1" ht="16.5" customHeight="1">
      <c r="A143" s="363"/>
      <c r="B143" s="364" t="s">
        <v>584</v>
      </c>
      <c r="C143" s="365">
        <v>38796</v>
      </c>
      <c r="D143" s="220" t="s">
        <v>648</v>
      </c>
      <c r="E143" s="366">
        <f>C143-C142</f>
        <v>134.09999999999854</v>
      </c>
      <c r="F143" s="227"/>
      <c r="G143" s="367"/>
      <c r="H143" s="368"/>
      <c r="I143" s="369"/>
      <c r="J143" s="359"/>
      <c r="K143" s="369"/>
      <c r="L143" s="370"/>
      <c r="M143" s="368"/>
      <c r="N143" s="369"/>
      <c r="O143" s="371"/>
      <c r="P143" s="368"/>
      <c r="Q143" s="369"/>
      <c r="R143" s="372"/>
      <c r="S143" s="373">
        <f>SUM(K145:K333)</f>
        <v>42776.8643539424</v>
      </c>
      <c r="V143" s="375"/>
    </row>
    <row r="144" spans="1:22" s="374" customFormat="1" ht="16.5" customHeight="1">
      <c r="A144" s="363"/>
      <c r="B144" s="351" t="s">
        <v>451</v>
      </c>
      <c r="C144" s="282">
        <f>SUM(K145:K333)</f>
        <v>42776.8643539424</v>
      </c>
      <c r="D144" s="220" t="s">
        <v>659</v>
      </c>
      <c r="E144" s="366"/>
      <c r="F144" s="227"/>
      <c r="G144" s="367"/>
      <c r="H144" s="368"/>
      <c r="I144" s="369"/>
      <c r="J144" s="359"/>
      <c r="K144" s="369"/>
      <c r="L144" s="370"/>
      <c r="M144" s="368"/>
      <c r="N144" s="369"/>
      <c r="O144" s="371"/>
      <c r="P144" s="368"/>
      <c r="Q144" s="369"/>
      <c r="R144" s="372"/>
      <c r="V144" s="375"/>
    </row>
    <row r="145" spans="1:22" s="126" customFormat="1" ht="16.5" customHeight="1">
      <c r="A145" s="124">
        <v>2</v>
      </c>
      <c r="B145" s="290" t="s">
        <v>452</v>
      </c>
      <c r="C145" s="293" t="s">
        <v>453</v>
      </c>
      <c r="D145" s="224">
        <v>1</v>
      </c>
      <c r="E145" s="230">
        <v>7.5</v>
      </c>
      <c r="F145" s="231">
        <f aca="true" t="shared" si="30" ref="F145:F156">E145*D145</f>
        <v>7.5</v>
      </c>
      <c r="G145" s="252">
        <v>51.75</v>
      </c>
      <c r="H145" s="231">
        <f aca="true" t="shared" si="31" ref="H145:H156">G145*2.54</f>
        <v>131.445</v>
      </c>
      <c r="I145" s="151">
        <f aca="true" t="shared" si="32" ref="I145:I156">F145*H145</f>
        <v>985.8375</v>
      </c>
      <c r="J145" s="232">
        <f>D145*3.7</f>
        <v>3.7</v>
      </c>
      <c r="K145" s="231">
        <f aca="true" t="shared" si="33" ref="K145:K156">J145*D145</f>
        <v>3.7</v>
      </c>
      <c r="L145" s="231">
        <f aca="true" t="shared" si="34" ref="L145:L156">G145</f>
        <v>51.75</v>
      </c>
      <c r="M145" s="231">
        <f aca="true" t="shared" si="35" ref="M145:M156">L145*2.54</f>
        <v>131.445</v>
      </c>
      <c r="N145" s="151">
        <f aca="true" t="shared" si="36" ref="N145:N156">K145*M145</f>
        <v>486.3465</v>
      </c>
      <c r="O145" s="233">
        <v>0</v>
      </c>
      <c r="P145" s="231">
        <f aca="true" t="shared" si="37" ref="P145:P156">O145*2.54</f>
        <v>0</v>
      </c>
      <c r="Q145" s="151">
        <f aca="true" t="shared" si="38" ref="Q145:Q156">F145*P145</f>
        <v>0</v>
      </c>
      <c r="R145" s="231">
        <f aca="true" t="shared" si="39" ref="R145:R156">K145*P145</f>
        <v>0</v>
      </c>
      <c r="V145" s="151"/>
    </row>
    <row r="146" spans="1:22" s="126" customFormat="1" ht="16.5" customHeight="1">
      <c r="A146" s="124">
        <v>2</v>
      </c>
      <c r="B146" s="290" t="s">
        <v>454</v>
      </c>
      <c r="C146" s="293" t="s">
        <v>453</v>
      </c>
      <c r="D146" s="224">
        <v>1</v>
      </c>
      <c r="E146" s="230">
        <v>7.5</v>
      </c>
      <c r="F146" s="231">
        <f t="shared" si="30"/>
        <v>7.5</v>
      </c>
      <c r="G146" s="252">
        <v>51.75</v>
      </c>
      <c r="H146" s="231">
        <f t="shared" si="31"/>
        <v>131.445</v>
      </c>
      <c r="I146" s="151">
        <f t="shared" si="32"/>
        <v>985.8375</v>
      </c>
      <c r="J146" s="232">
        <f>D146*3.7</f>
        <v>3.7</v>
      </c>
      <c r="K146" s="231">
        <f t="shared" si="33"/>
        <v>3.7</v>
      </c>
      <c r="L146" s="231">
        <f t="shared" si="34"/>
        <v>51.75</v>
      </c>
      <c r="M146" s="231">
        <f t="shared" si="35"/>
        <v>131.445</v>
      </c>
      <c r="N146" s="151">
        <f t="shared" si="36"/>
        <v>486.3465</v>
      </c>
      <c r="O146" s="233">
        <v>-1.7</v>
      </c>
      <c r="P146" s="231">
        <f t="shared" si="37"/>
        <v>-4.318</v>
      </c>
      <c r="Q146" s="151">
        <f t="shared" si="38"/>
        <v>-32.385</v>
      </c>
      <c r="R146" s="231">
        <f t="shared" si="39"/>
        <v>-15.9766</v>
      </c>
      <c r="V146" s="151"/>
    </row>
    <row r="147" spans="1:22" s="126" customFormat="1" ht="16.5" customHeight="1">
      <c r="A147" s="124">
        <v>2</v>
      </c>
      <c r="B147" s="290" t="s">
        <v>564</v>
      </c>
      <c r="C147" s="293" t="s">
        <v>453</v>
      </c>
      <c r="D147" s="224">
        <v>1</v>
      </c>
      <c r="E147" s="230">
        <v>7.5</v>
      </c>
      <c r="F147" s="231">
        <f t="shared" si="30"/>
        <v>7.5</v>
      </c>
      <c r="G147" s="252">
        <v>51.75</v>
      </c>
      <c r="H147" s="231">
        <f t="shared" si="31"/>
        <v>131.445</v>
      </c>
      <c r="I147" s="151">
        <f t="shared" si="32"/>
        <v>985.8375</v>
      </c>
      <c r="J147" s="232">
        <f>D147*3.7</f>
        <v>3.7</v>
      </c>
      <c r="K147" s="231">
        <f t="shared" si="33"/>
        <v>3.7</v>
      </c>
      <c r="L147" s="231">
        <f t="shared" si="34"/>
        <v>51.75</v>
      </c>
      <c r="M147" s="231">
        <f t="shared" si="35"/>
        <v>131.445</v>
      </c>
      <c r="N147" s="151">
        <f t="shared" si="36"/>
        <v>486.3465</v>
      </c>
      <c r="O147" s="233">
        <v>-2.3</v>
      </c>
      <c r="P147" s="231">
        <f t="shared" si="37"/>
        <v>-5.842</v>
      </c>
      <c r="Q147" s="151">
        <f t="shared" si="38"/>
        <v>-43.815</v>
      </c>
      <c r="R147" s="231">
        <f t="shared" si="39"/>
        <v>-21.6154</v>
      </c>
      <c r="V147" s="151"/>
    </row>
    <row r="148" spans="1:22" s="126" customFormat="1" ht="16.5" customHeight="1">
      <c r="A148" s="124">
        <v>2</v>
      </c>
      <c r="B148" s="290" t="s">
        <v>565</v>
      </c>
      <c r="C148" s="293" t="s">
        <v>453</v>
      </c>
      <c r="D148" s="224">
        <v>1</v>
      </c>
      <c r="E148" s="230">
        <v>7.5</v>
      </c>
      <c r="F148" s="231">
        <f t="shared" si="30"/>
        <v>7.5</v>
      </c>
      <c r="G148" s="252">
        <v>51.75</v>
      </c>
      <c r="H148" s="231">
        <f t="shared" si="31"/>
        <v>131.445</v>
      </c>
      <c r="I148" s="151">
        <f t="shared" si="32"/>
        <v>985.8375</v>
      </c>
      <c r="J148" s="232">
        <f>D148*3.7</f>
        <v>3.7</v>
      </c>
      <c r="K148" s="231">
        <f t="shared" si="33"/>
        <v>3.7</v>
      </c>
      <c r="L148" s="231">
        <f t="shared" si="34"/>
        <v>51.75</v>
      </c>
      <c r="M148" s="231">
        <f t="shared" si="35"/>
        <v>131.445</v>
      </c>
      <c r="N148" s="151">
        <f t="shared" si="36"/>
        <v>486.3465</v>
      </c>
      <c r="O148" s="233">
        <v>-1.7</v>
      </c>
      <c r="P148" s="231">
        <f t="shared" si="37"/>
        <v>-4.318</v>
      </c>
      <c r="Q148" s="151">
        <f t="shared" si="38"/>
        <v>-32.385</v>
      </c>
      <c r="R148" s="231">
        <f t="shared" si="39"/>
        <v>-15.9766</v>
      </c>
      <c r="V148" s="151"/>
    </row>
    <row r="149" spans="1:22" s="126" customFormat="1" ht="16.5" customHeight="1">
      <c r="A149" s="124">
        <v>2</v>
      </c>
      <c r="B149" s="290" t="s">
        <v>566</v>
      </c>
      <c r="C149" s="293" t="s">
        <v>453</v>
      </c>
      <c r="D149" s="224">
        <v>0</v>
      </c>
      <c r="E149" s="230">
        <v>7.5</v>
      </c>
      <c r="F149" s="231">
        <f t="shared" si="30"/>
        <v>0</v>
      </c>
      <c r="G149" s="252">
        <v>51.75</v>
      </c>
      <c r="H149" s="231">
        <f t="shared" si="31"/>
        <v>131.445</v>
      </c>
      <c r="I149" s="151">
        <f t="shared" si="32"/>
        <v>0</v>
      </c>
      <c r="J149" s="232">
        <v>3.7</v>
      </c>
      <c r="K149" s="231">
        <f t="shared" si="33"/>
        <v>0</v>
      </c>
      <c r="L149" s="231">
        <f t="shared" si="34"/>
        <v>51.75</v>
      </c>
      <c r="M149" s="231">
        <f t="shared" si="35"/>
        <v>131.445</v>
      </c>
      <c r="N149" s="151">
        <f t="shared" si="36"/>
        <v>0</v>
      </c>
      <c r="O149" s="233">
        <v>1.7</v>
      </c>
      <c r="P149" s="231">
        <f t="shared" si="37"/>
        <v>4.318</v>
      </c>
      <c r="Q149" s="151">
        <f t="shared" si="38"/>
        <v>0</v>
      </c>
      <c r="R149" s="231">
        <f t="shared" si="39"/>
        <v>0</v>
      </c>
      <c r="V149" s="151"/>
    </row>
    <row r="150" spans="1:22" s="126" customFormat="1" ht="16.5" customHeight="1">
      <c r="A150" s="124">
        <v>2</v>
      </c>
      <c r="B150" s="290" t="s">
        <v>567</v>
      </c>
      <c r="C150" s="293" t="s">
        <v>568</v>
      </c>
      <c r="D150" s="224">
        <v>1</v>
      </c>
      <c r="E150" s="230">
        <v>9</v>
      </c>
      <c r="F150" s="231">
        <f t="shared" si="30"/>
        <v>9</v>
      </c>
      <c r="G150" s="252">
        <v>48.55</v>
      </c>
      <c r="H150" s="231">
        <f t="shared" si="31"/>
        <v>123.317</v>
      </c>
      <c r="I150" s="151">
        <f t="shared" si="32"/>
        <v>1109.8529999999998</v>
      </c>
      <c r="J150" s="329">
        <v>7.13</v>
      </c>
      <c r="K150" s="151">
        <f t="shared" si="33"/>
        <v>7.13</v>
      </c>
      <c r="L150" s="254">
        <f t="shared" si="34"/>
        <v>48.55</v>
      </c>
      <c r="M150" s="231">
        <f t="shared" si="35"/>
        <v>123.317</v>
      </c>
      <c r="N150" s="151">
        <f t="shared" si="36"/>
        <v>879.2502099999999</v>
      </c>
      <c r="O150" s="233">
        <v>0</v>
      </c>
      <c r="P150" s="231">
        <f t="shared" si="37"/>
        <v>0</v>
      </c>
      <c r="Q150" s="151">
        <f t="shared" si="38"/>
        <v>0</v>
      </c>
      <c r="R150" s="231">
        <f t="shared" si="39"/>
        <v>0</v>
      </c>
      <c r="V150" s="151"/>
    </row>
    <row r="151" spans="1:22" s="126" customFormat="1" ht="33" customHeight="1">
      <c r="A151" s="124">
        <v>2</v>
      </c>
      <c r="B151" s="376" t="s">
        <v>569</v>
      </c>
      <c r="C151" s="377" t="s">
        <v>570</v>
      </c>
      <c r="D151" s="224">
        <v>1</v>
      </c>
      <c r="E151" s="230">
        <v>13</v>
      </c>
      <c r="F151" s="231">
        <f t="shared" si="30"/>
        <v>13</v>
      </c>
      <c r="G151" s="252">
        <v>48.64</v>
      </c>
      <c r="H151" s="231">
        <f t="shared" si="31"/>
        <v>123.54560000000001</v>
      </c>
      <c r="I151" s="151">
        <f t="shared" si="32"/>
        <v>1606.0928000000001</v>
      </c>
      <c r="J151" s="253">
        <f>E151/SS_Density</f>
        <v>1.6195340725052947</v>
      </c>
      <c r="K151" s="151">
        <f t="shared" si="33"/>
        <v>1.6195340725052947</v>
      </c>
      <c r="L151" s="254">
        <f t="shared" si="34"/>
        <v>48.64</v>
      </c>
      <c r="M151" s="231">
        <f t="shared" si="35"/>
        <v>123.54560000000001</v>
      </c>
      <c r="N151" s="151">
        <f t="shared" si="36"/>
        <v>200.08630870811015</v>
      </c>
      <c r="O151" s="233">
        <v>0</v>
      </c>
      <c r="P151" s="231">
        <f t="shared" si="37"/>
        <v>0</v>
      </c>
      <c r="Q151" s="151">
        <f t="shared" si="38"/>
        <v>0</v>
      </c>
      <c r="R151" s="231">
        <f t="shared" si="39"/>
        <v>0</v>
      </c>
      <c r="V151" s="151"/>
    </row>
    <row r="152" spans="1:22" s="126" customFormat="1" ht="16.5" customHeight="1">
      <c r="A152" s="124">
        <v>2</v>
      </c>
      <c r="B152" s="126" t="s">
        <v>571</v>
      </c>
      <c r="C152" s="293" t="s">
        <v>568</v>
      </c>
      <c r="D152" s="224">
        <v>1</v>
      </c>
      <c r="E152" s="230">
        <v>8.1</v>
      </c>
      <c r="F152" s="231">
        <f t="shared" si="30"/>
        <v>8.1</v>
      </c>
      <c r="G152" s="252">
        <v>28.72</v>
      </c>
      <c r="H152" s="231">
        <f t="shared" si="31"/>
        <v>72.94879999999999</v>
      </c>
      <c r="I152" s="151">
        <f t="shared" si="32"/>
        <v>590.8852799999999</v>
      </c>
      <c r="J152" s="329">
        <v>7.13</v>
      </c>
      <c r="K152" s="231">
        <f t="shared" si="33"/>
        <v>7.13</v>
      </c>
      <c r="L152" s="254">
        <f t="shared" si="34"/>
        <v>28.72</v>
      </c>
      <c r="M152" s="231">
        <f t="shared" si="35"/>
        <v>72.94879999999999</v>
      </c>
      <c r="N152" s="151">
        <f t="shared" si="36"/>
        <v>520.1249439999999</v>
      </c>
      <c r="O152" s="233">
        <v>0</v>
      </c>
      <c r="P152" s="231">
        <f t="shared" si="37"/>
        <v>0</v>
      </c>
      <c r="Q152" s="151">
        <f t="shared" si="38"/>
        <v>0</v>
      </c>
      <c r="R152" s="231">
        <f t="shared" si="39"/>
        <v>0</v>
      </c>
      <c r="V152" s="151"/>
    </row>
    <row r="153" spans="1:22" s="126" customFormat="1" ht="33" customHeight="1">
      <c r="A153" s="124">
        <v>2</v>
      </c>
      <c r="B153" s="376" t="s">
        <v>465</v>
      </c>
      <c r="C153" s="378" t="s">
        <v>570</v>
      </c>
      <c r="D153" s="224">
        <v>1</v>
      </c>
      <c r="E153" s="230">
        <v>15</v>
      </c>
      <c r="F153" s="231">
        <f t="shared" si="30"/>
        <v>15</v>
      </c>
      <c r="G153" s="252">
        <v>25.75</v>
      </c>
      <c r="H153" s="231">
        <f t="shared" si="31"/>
        <v>65.405</v>
      </c>
      <c r="I153" s="151">
        <f t="shared" si="32"/>
        <v>981.075</v>
      </c>
      <c r="J153" s="253">
        <f>E153/SS_Density</f>
        <v>1.8686931605830324</v>
      </c>
      <c r="K153" s="151">
        <f t="shared" si="33"/>
        <v>1.8686931605830324</v>
      </c>
      <c r="L153" s="254">
        <f t="shared" si="34"/>
        <v>25.75</v>
      </c>
      <c r="M153" s="231">
        <f t="shared" si="35"/>
        <v>65.405</v>
      </c>
      <c r="N153" s="151">
        <f t="shared" si="36"/>
        <v>122.22187616793323</v>
      </c>
      <c r="O153" s="233">
        <v>0</v>
      </c>
      <c r="P153" s="231">
        <f t="shared" si="37"/>
        <v>0</v>
      </c>
      <c r="Q153" s="151">
        <f t="shared" si="38"/>
        <v>0</v>
      </c>
      <c r="R153" s="231">
        <f t="shared" si="39"/>
        <v>0</v>
      </c>
      <c r="V153" s="151"/>
    </row>
    <row r="154" spans="1:22" s="126" customFormat="1" ht="16.5" customHeight="1">
      <c r="A154" s="124">
        <v>2</v>
      </c>
      <c r="B154" s="290" t="s">
        <v>466</v>
      </c>
      <c r="C154" s="124" t="s">
        <v>467</v>
      </c>
      <c r="D154" s="224">
        <v>1</v>
      </c>
      <c r="E154" s="230">
        <v>5.3</v>
      </c>
      <c r="F154" s="231">
        <f t="shared" si="30"/>
        <v>5.3</v>
      </c>
      <c r="G154" s="252">
        <v>23.41</v>
      </c>
      <c r="H154" s="231">
        <f t="shared" si="31"/>
        <v>59.461400000000005</v>
      </c>
      <c r="I154" s="151">
        <f t="shared" si="32"/>
        <v>315.14542</v>
      </c>
      <c r="J154" s="336">
        <v>0</v>
      </c>
      <c r="K154" s="151">
        <f t="shared" si="33"/>
        <v>0</v>
      </c>
      <c r="L154" s="254">
        <f t="shared" si="34"/>
        <v>23.41</v>
      </c>
      <c r="M154" s="231">
        <f t="shared" si="35"/>
        <v>59.461400000000005</v>
      </c>
      <c r="N154" s="151">
        <f t="shared" si="36"/>
        <v>0</v>
      </c>
      <c r="O154" s="233">
        <v>0</v>
      </c>
      <c r="P154" s="231">
        <f t="shared" si="37"/>
        <v>0</v>
      </c>
      <c r="Q154" s="151">
        <f t="shared" si="38"/>
        <v>0</v>
      </c>
      <c r="R154" s="231">
        <f t="shared" si="39"/>
        <v>0</v>
      </c>
      <c r="V154" s="151"/>
    </row>
    <row r="155" spans="1:22" s="126" customFormat="1" ht="16.5" customHeight="1">
      <c r="A155" s="124">
        <v>2</v>
      </c>
      <c r="B155" s="126" t="s">
        <v>468</v>
      </c>
      <c r="C155" s="251">
        <v>52410</v>
      </c>
      <c r="D155" s="224">
        <v>1</v>
      </c>
      <c r="E155" s="230">
        <v>6.7</v>
      </c>
      <c r="F155" s="231">
        <f t="shared" si="30"/>
        <v>6.7</v>
      </c>
      <c r="G155" s="252">
        <v>26.13</v>
      </c>
      <c r="H155" s="231">
        <f t="shared" si="31"/>
        <v>66.3702</v>
      </c>
      <c r="I155" s="151">
        <f t="shared" si="32"/>
        <v>444.68034</v>
      </c>
      <c r="J155" s="329">
        <v>5.76</v>
      </c>
      <c r="K155" s="231">
        <f t="shared" si="33"/>
        <v>5.76</v>
      </c>
      <c r="L155" s="254">
        <f t="shared" si="34"/>
        <v>26.13</v>
      </c>
      <c r="M155" s="231">
        <f t="shared" si="35"/>
        <v>66.3702</v>
      </c>
      <c r="N155" s="151">
        <f t="shared" si="36"/>
        <v>382.292352</v>
      </c>
      <c r="O155" s="233">
        <v>0</v>
      </c>
      <c r="P155" s="231">
        <f t="shared" si="37"/>
        <v>0</v>
      </c>
      <c r="Q155" s="151">
        <f t="shared" si="38"/>
        <v>0</v>
      </c>
      <c r="R155" s="231">
        <f t="shared" si="39"/>
        <v>0</v>
      </c>
      <c r="V155" s="151"/>
    </row>
    <row r="156" spans="1:22" s="126" customFormat="1" ht="16.5" customHeight="1">
      <c r="A156" s="124">
        <v>2</v>
      </c>
      <c r="B156" s="290" t="s">
        <v>469</v>
      </c>
      <c r="C156" s="293" t="s">
        <v>467</v>
      </c>
      <c r="D156" s="224">
        <v>1</v>
      </c>
      <c r="E156" s="230">
        <v>10.5</v>
      </c>
      <c r="F156" s="231">
        <f t="shared" si="30"/>
        <v>10.5</v>
      </c>
      <c r="G156" s="252">
        <v>25.92</v>
      </c>
      <c r="H156" s="231">
        <f t="shared" si="31"/>
        <v>65.83680000000001</v>
      </c>
      <c r="I156" s="151">
        <f t="shared" si="32"/>
        <v>691.2864000000001</v>
      </c>
      <c r="J156" s="336">
        <v>0</v>
      </c>
      <c r="K156" s="151">
        <f t="shared" si="33"/>
        <v>0</v>
      </c>
      <c r="L156" s="254">
        <f t="shared" si="34"/>
        <v>25.92</v>
      </c>
      <c r="M156" s="231">
        <f t="shared" si="35"/>
        <v>65.83680000000001</v>
      </c>
      <c r="N156" s="151">
        <f t="shared" si="36"/>
        <v>0</v>
      </c>
      <c r="O156" s="233">
        <v>0</v>
      </c>
      <c r="P156" s="231">
        <f t="shared" si="37"/>
        <v>0</v>
      </c>
      <c r="Q156" s="151">
        <f t="shared" si="38"/>
        <v>0</v>
      </c>
      <c r="R156" s="231">
        <f t="shared" si="39"/>
        <v>0</v>
      </c>
      <c r="V156" s="124"/>
    </row>
    <row r="157" spans="1:22" s="374" customFormat="1" ht="16.5" customHeight="1">
      <c r="A157" s="363"/>
      <c r="B157" s="351"/>
      <c r="C157" s="282"/>
      <c r="D157" s="220"/>
      <c r="E157" s="366"/>
      <c r="F157" s="227"/>
      <c r="G157" s="367"/>
      <c r="H157" s="368"/>
      <c r="I157" s="369"/>
      <c r="J157" s="359"/>
      <c r="K157" s="369"/>
      <c r="L157" s="370"/>
      <c r="M157" s="368"/>
      <c r="N157" s="369"/>
      <c r="O157" s="371"/>
      <c r="P157" s="368"/>
      <c r="Q157" s="369"/>
      <c r="R157" s="372"/>
      <c r="V157" s="375"/>
    </row>
    <row r="158" spans="1:22" s="8" customFormat="1" ht="16.5" customHeight="1">
      <c r="A158" s="379"/>
      <c r="B158" s="380"/>
      <c r="C158" s="381"/>
      <c r="D158" s="382"/>
      <c r="E158" s="383"/>
      <c r="F158" s="384"/>
      <c r="G158" s="384"/>
      <c r="H158" s="384"/>
      <c r="I158" s="384"/>
      <c r="J158" s="385"/>
      <c r="K158" s="384"/>
      <c r="L158" s="384"/>
      <c r="M158" s="384"/>
      <c r="N158" s="384"/>
      <c r="O158" s="385"/>
      <c r="P158" s="384"/>
      <c r="Q158" s="384"/>
      <c r="R158" s="384"/>
      <c r="V158" s="116"/>
    </row>
    <row r="159" spans="1:22" s="8" customFormat="1" ht="16.5" customHeight="1">
      <c r="A159" s="121">
        <v>2</v>
      </c>
      <c r="B159" s="147" t="s">
        <v>470</v>
      </c>
      <c r="C159" s="219">
        <v>49891</v>
      </c>
      <c r="D159" s="322"/>
      <c r="E159" s="202"/>
      <c r="F159" s="149"/>
      <c r="G159" s="323"/>
      <c r="H159" s="149"/>
      <c r="I159" s="116"/>
      <c r="J159" s="324"/>
      <c r="K159" s="219"/>
      <c r="L159" s="386"/>
      <c r="M159" s="149"/>
      <c r="N159" s="219"/>
      <c r="O159" s="338"/>
      <c r="P159" s="149"/>
      <c r="Q159" s="116"/>
      <c r="R159" s="149"/>
      <c r="V159" s="116"/>
    </row>
    <row r="160" spans="1:22" s="8" customFormat="1" ht="16.5" customHeight="1">
      <c r="A160" s="11"/>
      <c r="B160" s="234" t="s">
        <v>595</v>
      </c>
      <c r="C160" s="217">
        <f>SUM(F171:F273)</f>
        <v>7241.600000000003</v>
      </c>
      <c r="D160" s="220" t="s">
        <v>648</v>
      </c>
      <c r="E160" s="355" t="s">
        <v>656</v>
      </c>
      <c r="F160" s="149"/>
      <c r="G160" s="323"/>
      <c r="H160" s="149"/>
      <c r="J160" s="324"/>
      <c r="L160" s="386"/>
      <c r="M160" s="149"/>
      <c r="N160" s="219"/>
      <c r="O160" s="338"/>
      <c r="P160" s="149"/>
      <c r="Q160" s="116"/>
      <c r="R160" s="149"/>
      <c r="V160" s="116"/>
    </row>
    <row r="161" spans="1:32" s="126" customFormat="1" ht="16.5" customHeight="1">
      <c r="A161" s="124"/>
      <c r="B161" s="364" t="s">
        <v>584</v>
      </c>
      <c r="C161" s="339">
        <v>7241.6</v>
      </c>
      <c r="D161" s="387" t="s">
        <v>648</v>
      </c>
      <c r="E161" s="366">
        <f>C161-C160</f>
        <v>0</v>
      </c>
      <c r="I161" s="388"/>
      <c r="O161" s="273"/>
      <c r="S161"/>
      <c r="T161"/>
      <c r="U161"/>
      <c r="V161"/>
      <c r="W161"/>
      <c r="X161"/>
      <c r="Y161"/>
      <c r="Z161"/>
      <c r="AA161"/>
      <c r="AB161"/>
      <c r="AC161"/>
      <c r="AD161"/>
      <c r="AE161"/>
      <c r="AF161"/>
    </row>
    <row r="162" spans="1:22" s="8" customFormat="1" ht="16.5" customHeight="1">
      <c r="A162" s="11"/>
      <c r="B162" s="389"/>
      <c r="C162" s="219"/>
      <c r="D162" s="220"/>
      <c r="E162" s="202"/>
      <c r="F162" s="149"/>
      <c r="G162" s="323"/>
      <c r="H162" s="149"/>
      <c r="I162" s="116"/>
      <c r="J162" s="324"/>
      <c r="K162" s="219"/>
      <c r="L162" s="386"/>
      <c r="M162" s="149"/>
      <c r="N162" s="219"/>
      <c r="O162" s="338"/>
      <c r="P162" s="149"/>
      <c r="Q162" s="116"/>
      <c r="R162" s="149"/>
      <c r="V162" s="116"/>
    </row>
    <row r="163" spans="1:22" s="8" customFormat="1" ht="16.5" customHeight="1">
      <c r="A163" s="11">
        <v>3</v>
      </c>
      <c r="B163" s="136" t="s">
        <v>471</v>
      </c>
      <c r="C163" s="116">
        <f>E163</f>
        <v>5560</v>
      </c>
      <c r="D163" s="220" t="s">
        <v>648</v>
      </c>
      <c r="E163" s="390">
        <v>5560</v>
      </c>
      <c r="F163" s="149"/>
      <c r="G163" s="323"/>
      <c r="H163" s="149"/>
      <c r="I163" s="116"/>
      <c r="J163" s="324"/>
      <c r="K163" s="219"/>
      <c r="L163" s="386"/>
      <c r="M163" s="149"/>
      <c r="N163" s="219"/>
      <c r="O163" s="338"/>
      <c r="P163" s="149"/>
      <c r="Q163" s="116"/>
      <c r="R163" s="149"/>
      <c r="V163" s="116"/>
    </row>
    <row r="164" spans="1:22" s="8" customFormat="1" ht="16.5" customHeight="1">
      <c r="A164" s="11"/>
      <c r="B164" s="136" t="s">
        <v>472</v>
      </c>
      <c r="C164" s="116">
        <f>E164</f>
        <v>6686</v>
      </c>
      <c r="D164" s="220" t="s">
        <v>648</v>
      </c>
      <c r="E164" s="390">
        <v>6686</v>
      </c>
      <c r="F164" s="202"/>
      <c r="G164" s="391"/>
      <c r="H164" s="149"/>
      <c r="I164" s="116"/>
      <c r="J164" s="324"/>
      <c r="K164" s="219"/>
      <c r="L164" s="386"/>
      <c r="M164" s="149"/>
      <c r="N164" s="219"/>
      <c r="O164" s="338"/>
      <c r="P164" s="149"/>
      <c r="Q164" s="116"/>
      <c r="R164" s="149"/>
      <c r="V164" s="116"/>
    </row>
    <row r="165" spans="1:22" s="8" customFormat="1" ht="16.5" customHeight="1">
      <c r="A165" s="11"/>
      <c r="B165" s="136" t="s">
        <v>473</v>
      </c>
      <c r="C165" s="231">
        <f>C164-C163</f>
        <v>1126</v>
      </c>
      <c r="D165" s="220" t="s">
        <v>648</v>
      </c>
      <c r="E165" s="143">
        <v>1126</v>
      </c>
      <c r="F165" s="149"/>
      <c r="G165" s="323"/>
      <c r="H165" s="149"/>
      <c r="I165" s="116"/>
      <c r="J165" s="324"/>
      <c r="K165" s="219"/>
      <c r="L165" s="386"/>
      <c r="M165" s="149"/>
      <c r="N165" s="219"/>
      <c r="O165" s="338"/>
      <c r="P165" s="149"/>
      <c r="Q165" s="116"/>
      <c r="R165" s="149"/>
      <c r="V165" s="116"/>
    </row>
    <row r="166" spans="1:22" s="8" customFormat="1" ht="16.5" customHeight="1">
      <c r="A166" s="11"/>
      <c r="B166" s="136" t="s">
        <v>474</v>
      </c>
      <c r="C166" s="149">
        <f>Oil_wt_2/Oil_density</f>
        <v>1368.3315105116053</v>
      </c>
      <c r="D166" s="220" t="s">
        <v>659</v>
      </c>
      <c r="E166" s="143">
        <v>1368.3315105116053</v>
      </c>
      <c r="F166" s="149"/>
      <c r="G166" s="323"/>
      <c r="H166" s="149"/>
      <c r="I166" s="116"/>
      <c r="J166" s="324"/>
      <c r="K166" s="219"/>
      <c r="L166" s="386"/>
      <c r="M166" s="149"/>
      <c r="N166" s="219"/>
      <c r="O166" s="338"/>
      <c r="P166" s="149"/>
      <c r="Q166" s="116"/>
      <c r="R166" s="149"/>
      <c r="V166" s="116"/>
    </row>
    <row r="167" spans="1:22" s="8" customFormat="1" ht="16.5" customHeight="1">
      <c r="A167" s="11"/>
      <c r="B167" s="392"/>
      <c r="C167" s="393"/>
      <c r="D167" s="267"/>
      <c r="E167" s="278"/>
      <c r="F167" s="217"/>
      <c r="G167" s="394"/>
      <c r="H167" s="149"/>
      <c r="I167" s="116"/>
      <c r="J167" s="324"/>
      <c r="K167" s="219"/>
      <c r="L167" s="395"/>
      <c r="M167" s="217"/>
      <c r="N167" s="396"/>
      <c r="O167" s="326"/>
      <c r="P167" s="217"/>
      <c r="Q167" s="219"/>
      <c r="R167" s="149"/>
      <c r="V167" s="116"/>
    </row>
    <row r="168" spans="1:22" s="8" customFormat="1" ht="16.5" customHeight="1">
      <c r="A168" s="11">
        <v>3</v>
      </c>
      <c r="B168" s="397" t="s">
        <v>475</v>
      </c>
      <c r="C168" s="219">
        <v>55480</v>
      </c>
      <c r="D168" s="220"/>
      <c r="E168" s="230"/>
      <c r="F168" s="149"/>
      <c r="G168" s="335"/>
      <c r="H168" s="149"/>
      <c r="I168" s="116"/>
      <c r="J168" s="353"/>
      <c r="K168" s="116"/>
      <c r="L168" s="337"/>
      <c r="M168" s="149"/>
      <c r="N168" s="116"/>
      <c r="O168" s="338"/>
      <c r="P168" s="149"/>
      <c r="Q168" s="116"/>
      <c r="R168" s="149"/>
      <c r="V168" s="116"/>
    </row>
    <row r="169" spans="1:22" s="8" customFormat="1" ht="16.5" customHeight="1">
      <c r="A169" s="11"/>
      <c r="B169" s="6" t="s">
        <v>595</v>
      </c>
      <c r="C169" s="149">
        <f>(SUM(F171:F216))+E197-F197</f>
        <v>3936.6000000000013</v>
      </c>
      <c r="D169" s="220" t="s">
        <v>648</v>
      </c>
      <c r="E169" s="355" t="s">
        <v>656</v>
      </c>
      <c r="F169" s="149"/>
      <c r="G169" s="335"/>
      <c r="H169" s="149"/>
      <c r="I169" s="116"/>
      <c r="J169" s="353"/>
      <c r="K169" s="116"/>
      <c r="L169" s="337"/>
      <c r="M169" s="149"/>
      <c r="N169" s="116"/>
      <c r="O169" s="338"/>
      <c r="P169" s="149"/>
      <c r="Q169" s="116"/>
      <c r="R169" s="149"/>
      <c r="V169" s="116"/>
    </row>
    <row r="170" spans="1:22" s="8" customFormat="1" ht="16.5" customHeight="1">
      <c r="A170" s="11"/>
      <c r="B170" s="6" t="s">
        <v>584</v>
      </c>
      <c r="C170" s="230">
        <v>3936.6</v>
      </c>
      <c r="D170" s="220" t="s">
        <v>648</v>
      </c>
      <c r="E170" s="366">
        <f>C170-C169</f>
        <v>0</v>
      </c>
      <c r="F170" s="149"/>
      <c r="G170" s="335"/>
      <c r="H170" s="149"/>
      <c r="I170" s="116"/>
      <c r="J170" s="353"/>
      <c r="K170" s="116"/>
      <c r="L170" s="337"/>
      <c r="M170" s="149"/>
      <c r="N170" s="116"/>
      <c r="O170" s="338"/>
      <c r="P170" s="149"/>
      <c r="Q170" s="116"/>
      <c r="R170" s="149"/>
      <c r="V170" s="116"/>
    </row>
    <row r="171" spans="1:22" s="8" customFormat="1" ht="16.5" customHeight="1">
      <c r="A171" s="11">
        <v>4</v>
      </c>
      <c r="B171" s="133" t="s">
        <v>476</v>
      </c>
      <c r="C171" s="398" t="s">
        <v>477</v>
      </c>
      <c r="D171" s="334">
        <v>1</v>
      </c>
      <c r="E171" s="230">
        <v>2020.6</v>
      </c>
      <c r="F171" s="149">
        <f aca="true" t="shared" si="40" ref="F171:F196">E171*D171</f>
        <v>2020.6</v>
      </c>
      <c r="G171" s="335">
        <v>50.014</v>
      </c>
      <c r="H171" s="149">
        <f aca="true" t="shared" si="41" ref="H171:H216">G171*2.54</f>
        <v>127.03556</v>
      </c>
      <c r="I171" s="116">
        <f aca="true" t="shared" si="42" ref="I171:I216">F171*H171</f>
        <v>256688.052536</v>
      </c>
      <c r="J171" s="329">
        <v>2885</v>
      </c>
      <c r="K171" s="116">
        <f aca="true" t="shared" si="43" ref="K171:K216">J171*D171</f>
        <v>2885</v>
      </c>
      <c r="L171" s="337">
        <v>49.752</v>
      </c>
      <c r="M171" s="149">
        <f aca="true" t="shared" si="44" ref="M171:M216">L171*2.54</f>
        <v>126.37008</v>
      </c>
      <c r="N171" s="116">
        <f aca="true" t="shared" si="45" ref="N171:N195">K171*M171</f>
        <v>364577.68080000003</v>
      </c>
      <c r="O171" s="338">
        <v>0</v>
      </c>
      <c r="P171" s="149">
        <f aca="true" t="shared" si="46" ref="P171:P216">O171*2.54</f>
        <v>0</v>
      </c>
      <c r="Q171" s="116">
        <f aca="true" t="shared" si="47" ref="Q171:Q216">F171*P171</f>
        <v>0</v>
      </c>
      <c r="R171" s="149">
        <f aca="true" t="shared" si="48" ref="R171:R216">K171*P171</f>
        <v>0</v>
      </c>
      <c r="V171" s="116"/>
    </row>
    <row r="172" spans="1:22" s="8" customFormat="1" ht="16.5" customHeight="1">
      <c r="A172" s="11">
        <v>4</v>
      </c>
      <c r="B172" s="133" t="s">
        <v>478</v>
      </c>
      <c r="C172" s="11">
        <v>55248</v>
      </c>
      <c r="D172" s="334">
        <v>1</v>
      </c>
      <c r="E172" s="230">
        <v>1.1</v>
      </c>
      <c r="F172" s="149">
        <f t="shared" si="40"/>
        <v>1.1</v>
      </c>
      <c r="G172" s="335">
        <v>48.41</v>
      </c>
      <c r="H172" s="149">
        <f t="shared" si="41"/>
        <v>122.9614</v>
      </c>
      <c r="I172" s="116">
        <f t="shared" si="42"/>
        <v>135.25754</v>
      </c>
      <c r="J172" s="336">
        <v>0</v>
      </c>
      <c r="K172" s="116">
        <f t="shared" si="43"/>
        <v>0</v>
      </c>
      <c r="L172" s="337">
        <f aca="true" t="shared" si="49" ref="L172:L196">G172</f>
        <v>48.41</v>
      </c>
      <c r="M172" s="149">
        <f t="shared" si="44"/>
        <v>122.9614</v>
      </c>
      <c r="N172" s="116">
        <f t="shared" si="45"/>
        <v>0</v>
      </c>
      <c r="O172" s="338">
        <v>0</v>
      </c>
      <c r="P172" s="149">
        <f t="shared" si="46"/>
        <v>0</v>
      </c>
      <c r="Q172" s="116">
        <f t="shared" si="47"/>
        <v>0</v>
      </c>
      <c r="R172" s="149">
        <f t="shared" si="48"/>
        <v>0</v>
      </c>
      <c r="V172" s="116"/>
    </row>
    <row r="173" spans="1:22" s="8" customFormat="1" ht="16.5" customHeight="1">
      <c r="A173" s="11">
        <v>4</v>
      </c>
      <c r="B173" s="133" t="s">
        <v>479</v>
      </c>
      <c r="C173" s="398" t="s">
        <v>480</v>
      </c>
      <c r="D173" s="334">
        <v>1</v>
      </c>
      <c r="E173" s="230">
        <v>8.3</v>
      </c>
      <c r="F173" s="149">
        <f t="shared" si="40"/>
        <v>8.3</v>
      </c>
      <c r="G173" s="335">
        <v>49.3</v>
      </c>
      <c r="H173" s="149">
        <f t="shared" si="41"/>
        <v>125.222</v>
      </c>
      <c r="I173" s="116">
        <f t="shared" si="42"/>
        <v>1039.3426</v>
      </c>
      <c r="J173" s="336">
        <v>0</v>
      </c>
      <c r="K173" s="116">
        <f t="shared" si="43"/>
        <v>0</v>
      </c>
      <c r="L173" s="337">
        <f t="shared" si="49"/>
        <v>49.3</v>
      </c>
      <c r="M173" s="149">
        <f t="shared" si="44"/>
        <v>125.222</v>
      </c>
      <c r="N173" s="116">
        <f t="shared" si="45"/>
        <v>0</v>
      </c>
      <c r="O173" s="338">
        <v>0</v>
      </c>
      <c r="P173" s="149">
        <f t="shared" si="46"/>
        <v>0</v>
      </c>
      <c r="Q173" s="116">
        <f t="shared" si="47"/>
        <v>0</v>
      </c>
      <c r="R173" s="149">
        <f t="shared" si="48"/>
        <v>0</v>
      </c>
      <c r="V173" s="116"/>
    </row>
    <row r="174" spans="1:22" s="8" customFormat="1" ht="16.5" customHeight="1">
      <c r="A174" s="11">
        <v>4</v>
      </c>
      <c r="B174" s="399" t="s">
        <v>481</v>
      </c>
      <c r="C174" s="398" t="s">
        <v>482</v>
      </c>
      <c r="D174" s="334">
        <v>1</v>
      </c>
      <c r="E174" s="230">
        <v>27.5</v>
      </c>
      <c r="F174" s="149">
        <f t="shared" si="40"/>
        <v>27.5</v>
      </c>
      <c r="G174" s="335">
        <v>49.3</v>
      </c>
      <c r="H174" s="149">
        <f t="shared" si="41"/>
        <v>125.222</v>
      </c>
      <c r="I174" s="116">
        <f t="shared" si="42"/>
        <v>3443.605</v>
      </c>
      <c r="J174" s="336">
        <v>0</v>
      </c>
      <c r="K174" s="116">
        <f t="shared" si="43"/>
        <v>0</v>
      </c>
      <c r="L174" s="337">
        <f t="shared" si="49"/>
        <v>49.3</v>
      </c>
      <c r="M174" s="149">
        <f t="shared" si="44"/>
        <v>125.222</v>
      </c>
      <c r="N174" s="116">
        <f t="shared" si="45"/>
        <v>0</v>
      </c>
      <c r="O174" s="338">
        <v>0.5</v>
      </c>
      <c r="P174" s="149">
        <f t="shared" si="46"/>
        <v>1.27</v>
      </c>
      <c r="Q174" s="116">
        <f t="shared" si="47"/>
        <v>34.925</v>
      </c>
      <c r="R174" s="149">
        <f t="shared" si="48"/>
        <v>0</v>
      </c>
      <c r="V174" s="116"/>
    </row>
    <row r="175" spans="1:22" s="8" customFormat="1" ht="16.5" customHeight="1">
      <c r="A175" s="11">
        <v>4</v>
      </c>
      <c r="B175" s="399" t="s">
        <v>483</v>
      </c>
      <c r="C175" s="398" t="s">
        <v>484</v>
      </c>
      <c r="D175" s="334">
        <v>1</v>
      </c>
      <c r="E175" s="230">
        <v>604.6</v>
      </c>
      <c r="F175" s="149">
        <f t="shared" si="40"/>
        <v>604.6</v>
      </c>
      <c r="G175" s="335">
        <v>49.02</v>
      </c>
      <c r="H175" s="149">
        <f t="shared" si="41"/>
        <v>124.5108</v>
      </c>
      <c r="I175" s="116">
        <f t="shared" si="42"/>
        <v>75279.22968</v>
      </c>
      <c r="J175" s="336">
        <v>0</v>
      </c>
      <c r="K175" s="116">
        <f t="shared" si="43"/>
        <v>0</v>
      </c>
      <c r="L175" s="337">
        <f t="shared" si="49"/>
        <v>49.02</v>
      </c>
      <c r="M175" s="149">
        <f t="shared" si="44"/>
        <v>124.5108</v>
      </c>
      <c r="N175" s="116">
        <f t="shared" si="45"/>
        <v>0</v>
      </c>
      <c r="O175" s="338">
        <v>0.6</v>
      </c>
      <c r="P175" s="149">
        <f t="shared" si="46"/>
        <v>1.524</v>
      </c>
      <c r="Q175" s="116">
        <f t="shared" si="47"/>
        <v>921.4104000000001</v>
      </c>
      <c r="R175" s="149">
        <f t="shared" si="48"/>
        <v>0</v>
      </c>
      <c r="V175" s="116"/>
    </row>
    <row r="176" spans="1:22" s="8" customFormat="1" ht="16.5" customHeight="1">
      <c r="A176" s="11">
        <v>4</v>
      </c>
      <c r="B176" s="399" t="s">
        <v>485</v>
      </c>
      <c r="C176" s="398" t="s">
        <v>486</v>
      </c>
      <c r="D176" s="334">
        <v>1</v>
      </c>
      <c r="E176" s="230">
        <v>10.6</v>
      </c>
      <c r="F176" s="149">
        <f t="shared" si="40"/>
        <v>10.6</v>
      </c>
      <c r="G176" s="335">
        <v>50.43</v>
      </c>
      <c r="H176" s="149">
        <f t="shared" si="41"/>
        <v>128.0922</v>
      </c>
      <c r="I176" s="116">
        <f t="shared" si="42"/>
        <v>1357.77732</v>
      </c>
      <c r="J176" s="336">
        <v>0</v>
      </c>
      <c r="K176" s="116">
        <f t="shared" si="43"/>
        <v>0</v>
      </c>
      <c r="L176" s="337">
        <f t="shared" si="49"/>
        <v>50.43</v>
      </c>
      <c r="M176" s="149">
        <f t="shared" si="44"/>
        <v>128.0922</v>
      </c>
      <c r="N176" s="116">
        <f t="shared" si="45"/>
        <v>0</v>
      </c>
      <c r="O176" s="338">
        <v>0.5</v>
      </c>
      <c r="P176" s="149">
        <f t="shared" si="46"/>
        <v>1.27</v>
      </c>
      <c r="Q176" s="116">
        <f t="shared" si="47"/>
        <v>13.462</v>
      </c>
      <c r="R176" s="149">
        <f t="shared" si="48"/>
        <v>0</v>
      </c>
      <c r="V176" s="116"/>
    </row>
    <row r="177" spans="1:22" s="8" customFormat="1" ht="16.5" customHeight="1">
      <c r="A177" s="11">
        <v>4</v>
      </c>
      <c r="B177" s="133" t="s">
        <v>487</v>
      </c>
      <c r="C177" s="398" t="s">
        <v>488</v>
      </c>
      <c r="D177" s="334">
        <v>1</v>
      </c>
      <c r="E177" s="230">
        <v>18.8</v>
      </c>
      <c r="F177" s="149">
        <f t="shared" si="40"/>
        <v>18.8</v>
      </c>
      <c r="G177" s="335">
        <v>48.79</v>
      </c>
      <c r="H177" s="149">
        <f t="shared" si="41"/>
        <v>123.9266</v>
      </c>
      <c r="I177" s="116">
        <f t="shared" si="42"/>
        <v>2329.82008</v>
      </c>
      <c r="J177" s="336">
        <v>0</v>
      </c>
      <c r="K177" s="116">
        <f t="shared" si="43"/>
        <v>0</v>
      </c>
      <c r="L177" s="337">
        <f t="shared" si="49"/>
        <v>48.79</v>
      </c>
      <c r="M177" s="149">
        <f t="shared" si="44"/>
        <v>123.9266</v>
      </c>
      <c r="N177" s="116">
        <f t="shared" si="45"/>
        <v>0</v>
      </c>
      <c r="O177" s="338">
        <v>-0.5</v>
      </c>
      <c r="P177" s="149">
        <f t="shared" si="46"/>
        <v>-1.27</v>
      </c>
      <c r="Q177" s="116">
        <f t="shared" si="47"/>
        <v>-23.876</v>
      </c>
      <c r="R177" s="149">
        <f t="shared" si="48"/>
        <v>0</v>
      </c>
      <c r="V177" s="116"/>
    </row>
    <row r="178" spans="1:22" s="8" customFormat="1" ht="16.5" customHeight="1">
      <c r="A178" s="11">
        <v>4</v>
      </c>
      <c r="B178" s="133" t="s">
        <v>489</v>
      </c>
      <c r="C178" s="398" t="s">
        <v>490</v>
      </c>
      <c r="D178" s="334">
        <v>1</v>
      </c>
      <c r="E178" s="230">
        <v>3.3</v>
      </c>
      <c r="F178" s="149">
        <f t="shared" si="40"/>
        <v>3.3</v>
      </c>
      <c r="G178" s="335">
        <v>47</v>
      </c>
      <c r="H178" s="149">
        <f t="shared" si="41"/>
        <v>119.38</v>
      </c>
      <c r="I178" s="116">
        <f t="shared" si="42"/>
        <v>393.95399999999995</v>
      </c>
      <c r="J178" s="336">
        <v>0</v>
      </c>
      <c r="K178" s="116">
        <f t="shared" si="43"/>
        <v>0</v>
      </c>
      <c r="L178" s="337">
        <f t="shared" si="49"/>
        <v>47</v>
      </c>
      <c r="M178" s="149">
        <f t="shared" si="44"/>
        <v>119.38</v>
      </c>
      <c r="N178" s="116">
        <f t="shared" si="45"/>
        <v>0</v>
      </c>
      <c r="O178" s="338">
        <v>0</v>
      </c>
      <c r="P178" s="149">
        <f t="shared" si="46"/>
        <v>0</v>
      </c>
      <c r="Q178" s="116">
        <f t="shared" si="47"/>
        <v>0</v>
      </c>
      <c r="R178" s="149">
        <f t="shared" si="48"/>
        <v>0</v>
      </c>
      <c r="V178" s="116"/>
    </row>
    <row r="179" spans="1:22" s="8" customFormat="1" ht="16.5" customHeight="1">
      <c r="A179" s="11">
        <v>4</v>
      </c>
      <c r="B179" s="133" t="s">
        <v>491</v>
      </c>
      <c r="C179" s="398" t="s">
        <v>490</v>
      </c>
      <c r="D179" s="334">
        <v>1</v>
      </c>
      <c r="E179" s="230">
        <v>2.5</v>
      </c>
      <c r="F179" s="149">
        <f t="shared" si="40"/>
        <v>2.5</v>
      </c>
      <c r="G179" s="335">
        <v>47</v>
      </c>
      <c r="H179" s="149">
        <f t="shared" si="41"/>
        <v>119.38</v>
      </c>
      <c r="I179" s="116">
        <f t="shared" si="42"/>
        <v>298.45</v>
      </c>
      <c r="J179" s="336">
        <v>0</v>
      </c>
      <c r="K179" s="116">
        <f t="shared" si="43"/>
        <v>0</v>
      </c>
      <c r="L179" s="337">
        <f t="shared" si="49"/>
        <v>47</v>
      </c>
      <c r="M179" s="149">
        <f t="shared" si="44"/>
        <v>119.38</v>
      </c>
      <c r="N179" s="116">
        <f t="shared" si="45"/>
        <v>0</v>
      </c>
      <c r="O179" s="338">
        <v>0</v>
      </c>
      <c r="P179" s="149">
        <f t="shared" si="46"/>
        <v>0</v>
      </c>
      <c r="Q179" s="116">
        <f t="shared" si="47"/>
        <v>0</v>
      </c>
      <c r="R179" s="149">
        <f t="shared" si="48"/>
        <v>0</v>
      </c>
      <c r="V179" s="116"/>
    </row>
    <row r="180" spans="1:22" s="8" customFormat="1" ht="16.5" customHeight="1">
      <c r="A180" s="11">
        <v>4</v>
      </c>
      <c r="B180" s="133" t="s">
        <v>492</v>
      </c>
      <c r="C180" s="398" t="s">
        <v>493</v>
      </c>
      <c r="D180" s="334">
        <v>1</v>
      </c>
      <c r="E180" s="230">
        <v>22.4</v>
      </c>
      <c r="F180" s="149">
        <f t="shared" si="40"/>
        <v>22.4</v>
      </c>
      <c r="G180" s="335">
        <v>49.1</v>
      </c>
      <c r="H180" s="149">
        <f t="shared" si="41"/>
        <v>124.714</v>
      </c>
      <c r="I180" s="116">
        <f t="shared" si="42"/>
        <v>2793.5935999999997</v>
      </c>
      <c r="J180" s="336">
        <v>0</v>
      </c>
      <c r="K180" s="116">
        <f t="shared" si="43"/>
        <v>0</v>
      </c>
      <c r="L180" s="337">
        <f t="shared" si="49"/>
        <v>49.1</v>
      </c>
      <c r="M180" s="149">
        <f t="shared" si="44"/>
        <v>124.714</v>
      </c>
      <c r="N180" s="116">
        <f t="shared" si="45"/>
        <v>0</v>
      </c>
      <c r="O180" s="338">
        <v>-0.5</v>
      </c>
      <c r="P180" s="149">
        <f t="shared" si="46"/>
        <v>-1.27</v>
      </c>
      <c r="Q180" s="116">
        <f t="shared" si="47"/>
        <v>-28.447999999999997</v>
      </c>
      <c r="R180" s="149">
        <f t="shared" si="48"/>
        <v>0</v>
      </c>
      <c r="V180" s="116"/>
    </row>
    <row r="181" spans="1:22" s="8" customFormat="1" ht="16.5" customHeight="1">
      <c r="A181" s="11">
        <v>4</v>
      </c>
      <c r="B181" s="133" t="s">
        <v>494</v>
      </c>
      <c r="C181" s="398" t="s">
        <v>495</v>
      </c>
      <c r="D181" s="334">
        <v>1</v>
      </c>
      <c r="E181" s="230">
        <v>16.1</v>
      </c>
      <c r="F181" s="149">
        <f t="shared" si="40"/>
        <v>16.1</v>
      </c>
      <c r="G181" s="335">
        <v>50.43</v>
      </c>
      <c r="H181" s="149">
        <f t="shared" si="41"/>
        <v>128.0922</v>
      </c>
      <c r="I181" s="116">
        <f t="shared" si="42"/>
        <v>2062.28442</v>
      </c>
      <c r="J181" s="336">
        <v>0</v>
      </c>
      <c r="K181" s="116">
        <f t="shared" si="43"/>
        <v>0</v>
      </c>
      <c r="L181" s="337">
        <f t="shared" si="49"/>
        <v>50.43</v>
      </c>
      <c r="M181" s="149">
        <f t="shared" si="44"/>
        <v>128.0922</v>
      </c>
      <c r="N181" s="116">
        <f t="shared" si="45"/>
        <v>0</v>
      </c>
      <c r="O181" s="338">
        <v>-0.5</v>
      </c>
      <c r="P181" s="149">
        <f t="shared" si="46"/>
        <v>-1.27</v>
      </c>
      <c r="Q181" s="116">
        <f t="shared" si="47"/>
        <v>-20.447000000000003</v>
      </c>
      <c r="R181" s="149">
        <f t="shared" si="48"/>
        <v>0</v>
      </c>
      <c r="V181" s="116"/>
    </row>
    <row r="182" spans="1:22" s="8" customFormat="1" ht="16.5" customHeight="1">
      <c r="A182" s="11">
        <v>4</v>
      </c>
      <c r="B182" s="133" t="s">
        <v>496</v>
      </c>
      <c r="C182" s="398" t="s">
        <v>490</v>
      </c>
      <c r="D182" s="334">
        <v>1</v>
      </c>
      <c r="E182" s="230">
        <v>3.9</v>
      </c>
      <c r="F182" s="149">
        <f t="shared" si="40"/>
        <v>3.9</v>
      </c>
      <c r="G182" s="335">
        <v>47</v>
      </c>
      <c r="H182" s="149">
        <f t="shared" si="41"/>
        <v>119.38</v>
      </c>
      <c r="I182" s="116">
        <f t="shared" si="42"/>
        <v>465.582</v>
      </c>
      <c r="J182" s="336">
        <v>0</v>
      </c>
      <c r="K182" s="116">
        <f t="shared" si="43"/>
        <v>0</v>
      </c>
      <c r="L182" s="337">
        <f t="shared" si="49"/>
        <v>47</v>
      </c>
      <c r="M182" s="149">
        <f t="shared" si="44"/>
        <v>119.38</v>
      </c>
      <c r="N182" s="116">
        <f t="shared" si="45"/>
        <v>0</v>
      </c>
      <c r="O182" s="338">
        <v>0</v>
      </c>
      <c r="P182" s="149">
        <f t="shared" si="46"/>
        <v>0</v>
      </c>
      <c r="Q182" s="116">
        <f t="shared" si="47"/>
        <v>0</v>
      </c>
      <c r="R182" s="149">
        <f t="shared" si="48"/>
        <v>0</v>
      </c>
      <c r="V182" s="116"/>
    </row>
    <row r="183" spans="1:22" s="8" customFormat="1" ht="16.5" customHeight="1">
      <c r="A183" s="11">
        <v>4</v>
      </c>
      <c r="B183" s="399" t="s">
        <v>497</v>
      </c>
      <c r="C183" s="398" t="s">
        <v>498</v>
      </c>
      <c r="D183" s="334">
        <v>1</v>
      </c>
      <c r="E183" s="230">
        <v>18.9</v>
      </c>
      <c r="F183" s="149">
        <f t="shared" si="40"/>
        <v>18.9</v>
      </c>
      <c r="G183" s="335">
        <v>49.3</v>
      </c>
      <c r="H183" s="149">
        <f t="shared" si="41"/>
        <v>125.222</v>
      </c>
      <c r="I183" s="116">
        <f t="shared" si="42"/>
        <v>2366.6957999999995</v>
      </c>
      <c r="J183" s="336">
        <v>0</v>
      </c>
      <c r="K183" s="116">
        <f t="shared" si="43"/>
        <v>0</v>
      </c>
      <c r="L183" s="337">
        <f t="shared" si="49"/>
        <v>49.3</v>
      </c>
      <c r="M183" s="149">
        <f t="shared" si="44"/>
        <v>125.222</v>
      </c>
      <c r="N183" s="116">
        <f t="shared" si="45"/>
        <v>0</v>
      </c>
      <c r="O183" s="338">
        <v>0</v>
      </c>
      <c r="P183" s="149">
        <f t="shared" si="46"/>
        <v>0</v>
      </c>
      <c r="Q183" s="116">
        <f t="shared" si="47"/>
        <v>0</v>
      </c>
      <c r="R183" s="149">
        <f t="shared" si="48"/>
        <v>0</v>
      </c>
      <c r="V183" s="116"/>
    </row>
    <row r="184" spans="1:22" s="8" customFormat="1" ht="16.5" customHeight="1">
      <c r="A184" s="11">
        <v>4</v>
      </c>
      <c r="B184" s="133" t="s">
        <v>499</v>
      </c>
      <c r="C184" s="398" t="s">
        <v>490</v>
      </c>
      <c r="D184" s="334">
        <v>1</v>
      </c>
      <c r="E184" s="230">
        <v>1.8</v>
      </c>
      <c r="F184" s="149">
        <f t="shared" si="40"/>
        <v>1.8</v>
      </c>
      <c r="G184" s="335">
        <v>47</v>
      </c>
      <c r="H184" s="149">
        <f t="shared" si="41"/>
        <v>119.38</v>
      </c>
      <c r="I184" s="116">
        <f t="shared" si="42"/>
        <v>214.884</v>
      </c>
      <c r="J184" s="336">
        <v>0</v>
      </c>
      <c r="K184" s="116">
        <f t="shared" si="43"/>
        <v>0</v>
      </c>
      <c r="L184" s="337">
        <f t="shared" si="49"/>
        <v>47</v>
      </c>
      <c r="M184" s="149">
        <f t="shared" si="44"/>
        <v>119.38</v>
      </c>
      <c r="N184" s="116">
        <f t="shared" si="45"/>
        <v>0</v>
      </c>
      <c r="O184" s="338">
        <v>0</v>
      </c>
      <c r="P184" s="149">
        <f t="shared" si="46"/>
        <v>0</v>
      </c>
      <c r="Q184" s="116">
        <f t="shared" si="47"/>
        <v>0</v>
      </c>
      <c r="R184" s="149">
        <f t="shared" si="48"/>
        <v>0</v>
      </c>
      <c r="V184" s="116"/>
    </row>
    <row r="185" spans="1:22" s="8" customFormat="1" ht="16.5" customHeight="1">
      <c r="A185" s="11">
        <v>4</v>
      </c>
      <c r="B185" s="133" t="s">
        <v>500</v>
      </c>
      <c r="C185" s="11">
        <v>52350</v>
      </c>
      <c r="D185" s="334">
        <v>1</v>
      </c>
      <c r="E185" s="230">
        <v>0.9</v>
      </c>
      <c r="F185" s="149">
        <f t="shared" si="40"/>
        <v>0.9</v>
      </c>
      <c r="G185" s="335">
        <v>50.9</v>
      </c>
      <c r="H185" s="149">
        <f t="shared" si="41"/>
        <v>129.286</v>
      </c>
      <c r="I185" s="116">
        <f t="shared" si="42"/>
        <v>116.3574</v>
      </c>
      <c r="J185" s="336">
        <v>0</v>
      </c>
      <c r="K185" s="116">
        <f t="shared" si="43"/>
        <v>0</v>
      </c>
      <c r="L185" s="337">
        <f t="shared" si="49"/>
        <v>50.9</v>
      </c>
      <c r="M185" s="149">
        <f t="shared" si="44"/>
        <v>129.286</v>
      </c>
      <c r="N185" s="116">
        <f t="shared" si="45"/>
        <v>0</v>
      </c>
      <c r="O185" s="338">
        <v>0</v>
      </c>
      <c r="P185" s="149">
        <f t="shared" si="46"/>
        <v>0</v>
      </c>
      <c r="Q185" s="116">
        <f t="shared" si="47"/>
        <v>0</v>
      </c>
      <c r="R185" s="149">
        <f t="shared" si="48"/>
        <v>0</v>
      </c>
      <c r="V185" s="116"/>
    </row>
    <row r="186" spans="1:22" s="8" customFormat="1" ht="16.5" customHeight="1">
      <c r="A186" s="11">
        <v>4</v>
      </c>
      <c r="B186" s="133" t="s">
        <v>501</v>
      </c>
      <c r="C186" s="11">
        <v>52349</v>
      </c>
      <c r="D186" s="334">
        <v>1</v>
      </c>
      <c r="E186" s="230">
        <v>7.5</v>
      </c>
      <c r="F186" s="149">
        <f t="shared" si="40"/>
        <v>7.5</v>
      </c>
      <c r="G186" s="335">
        <v>51.04</v>
      </c>
      <c r="H186" s="149">
        <f t="shared" si="41"/>
        <v>129.6416</v>
      </c>
      <c r="I186" s="116">
        <f t="shared" si="42"/>
        <v>972.3120000000001</v>
      </c>
      <c r="J186" s="336">
        <v>0</v>
      </c>
      <c r="K186" s="116">
        <f t="shared" si="43"/>
        <v>0</v>
      </c>
      <c r="L186" s="337">
        <f t="shared" si="49"/>
        <v>51.04</v>
      </c>
      <c r="M186" s="149">
        <f t="shared" si="44"/>
        <v>129.6416</v>
      </c>
      <c r="N186" s="116">
        <f t="shared" si="45"/>
        <v>0</v>
      </c>
      <c r="O186" s="338">
        <v>0</v>
      </c>
      <c r="P186" s="149">
        <f t="shared" si="46"/>
        <v>0</v>
      </c>
      <c r="Q186" s="116">
        <f t="shared" si="47"/>
        <v>0</v>
      </c>
      <c r="R186" s="149">
        <f t="shared" si="48"/>
        <v>0</v>
      </c>
      <c r="V186" s="116"/>
    </row>
    <row r="187" spans="1:22" s="8" customFormat="1" ht="16.5" customHeight="1">
      <c r="A187" s="11">
        <v>4</v>
      </c>
      <c r="B187" s="133" t="s">
        <v>502</v>
      </c>
      <c r="C187" s="398" t="s">
        <v>503</v>
      </c>
      <c r="D187" s="334">
        <v>1</v>
      </c>
      <c r="E187" s="230">
        <v>316.9</v>
      </c>
      <c r="F187" s="149">
        <f t="shared" si="40"/>
        <v>316.9</v>
      </c>
      <c r="G187" s="335">
        <v>49.58</v>
      </c>
      <c r="H187" s="149">
        <f t="shared" si="41"/>
        <v>125.9332</v>
      </c>
      <c r="I187" s="116">
        <f t="shared" si="42"/>
        <v>39908.23108</v>
      </c>
      <c r="J187" s="336">
        <v>0</v>
      </c>
      <c r="K187" s="116">
        <f t="shared" si="43"/>
        <v>0</v>
      </c>
      <c r="L187" s="337">
        <f t="shared" si="49"/>
        <v>49.58</v>
      </c>
      <c r="M187" s="149">
        <f t="shared" si="44"/>
        <v>125.9332</v>
      </c>
      <c r="N187" s="116">
        <f t="shared" si="45"/>
        <v>0</v>
      </c>
      <c r="O187" s="338">
        <v>0</v>
      </c>
      <c r="P187" s="149">
        <f t="shared" si="46"/>
        <v>0</v>
      </c>
      <c r="Q187" s="116">
        <f t="shared" si="47"/>
        <v>0</v>
      </c>
      <c r="R187" s="149">
        <f t="shared" si="48"/>
        <v>0</v>
      </c>
      <c r="V187" s="116"/>
    </row>
    <row r="188" spans="1:22" s="8" customFormat="1" ht="16.5" customHeight="1">
      <c r="A188" s="11">
        <v>4</v>
      </c>
      <c r="B188" s="399" t="s">
        <v>504</v>
      </c>
      <c r="C188" s="11">
        <v>49803</v>
      </c>
      <c r="D188" s="334">
        <v>1</v>
      </c>
      <c r="E188" s="230">
        <v>110.7</v>
      </c>
      <c r="F188" s="149">
        <f t="shared" si="40"/>
        <v>110.7</v>
      </c>
      <c r="G188" s="335">
        <v>47.72</v>
      </c>
      <c r="H188" s="149">
        <f t="shared" si="41"/>
        <v>121.2088</v>
      </c>
      <c r="I188" s="116">
        <f t="shared" si="42"/>
        <v>13417.81416</v>
      </c>
      <c r="J188" s="336">
        <v>0</v>
      </c>
      <c r="K188" s="116">
        <f t="shared" si="43"/>
        <v>0</v>
      </c>
      <c r="L188" s="337">
        <f t="shared" si="49"/>
        <v>47.72</v>
      </c>
      <c r="M188" s="149">
        <f t="shared" si="44"/>
        <v>121.2088</v>
      </c>
      <c r="N188" s="116">
        <f t="shared" si="45"/>
        <v>0</v>
      </c>
      <c r="O188" s="338">
        <v>0</v>
      </c>
      <c r="P188" s="149">
        <f t="shared" si="46"/>
        <v>0</v>
      </c>
      <c r="Q188" s="116">
        <f t="shared" si="47"/>
        <v>0</v>
      </c>
      <c r="R188" s="149">
        <f t="shared" si="48"/>
        <v>0</v>
      </c>
      <c r="V188" s="116"/>
    </row>
    <row r="189" spans="1:22" s="8" customFormat="1" ht="16.5" customHeight="1">
      <c r="A189" s="11">
        <v>4</v>
      </c>
      <c r="B189" s="133" t="s">
        <v>505</v>
      </c>
      <c r="C189" s="398" t="s">
        <v>506</v>
      </c>
      <c r="D189" s="334">
        <v>1</v>
      </c>
      <c r="E189" s="230">
        <v>3.2</v>
      </c>
      <c r="F189" s="149">
        <f t="shared" si="40"/>
        <v>3.2</v>
      </c>
      <c r="G189" s="335">
        <v>47.69</v>
      </c>
      <c r="H189" s="149">
        <f t="shared" si="41"/>
        <v>121.1326</v>
      </c>
      <c r="I189" s="116">
        <f t="shared" si="42"/>
        <v>387.62432</v>
      </c>
      <c r="J189" s="336">
        <v>0</v>
      </c>
      <c r="K189" s="116">
        <f t="shared" si="43"/>
        <v>0</v>
      </c>
      <c r="L189" s="337">
        <f t="shared" si="49"/>
        <v>47.69</v>
      </c>
      <c r="M189" s="149">
        <f t="shared" si="44"/>
        <v>121.1326</v>
      </c>
      <c r="N189" s="116">
        <f t="shared" si="45"/>
        <v>0</v>
      </c>
      <c r="O189" s="338">
        <v>0</v>
      </c>
      <c r="P189" s="149">
        <f t="shared" si="46"/>
        <v>0</v>
      </c>
      <c r="Q189" s="116">
        <f t="shared" si="47"/>
        <v>0</v>
      </c>
      <c r="R189" s="149">
        <f t="shared" si="48"/>
        <v>0</v>
      </c>
      <c r="V189" s="116"/>
    </row>
    <row r="190" spans="1:22" s="8" customFormat="1" ht="16.5" customHeight="1">
      <c r="A190" s="11">
        <v>4</v>
      </c>
      <c r="B190" s="399" t="s">
        <v>375</v>
      </c>
      <c r="C190" s="398" t="s">
        <v>376</v>
      </c>
      <c r="D190" s="334">
        <v>1</v>
      </c>
      <c r="E190" s="230">
        <v>0.4</v>
      </c>
      <c r="F190" s="149">
        <f t="shared" si="40"/>
        <v>0.4</v>
      </c>
      <c r="G190" s="335">
        <v>48.23</v>
      </c>
      <c r="H190" s="149">
        <f t="shared" si="41"/>
        <v>122.5042</v>
      </c>
      <c r="I190" s="116">
        <f t="shared" si="42"/>
        <v>49.00168</v>
      </c>
      <c r="J190" s="336">
        <v>0</v>
      </c>
      <c r="K190" s="116">
        <f t="shared" si="43"/>
        <v>0</v>
      </c>
      <c r="L190" s="337">
        <f t="shared" si="49"/>
        <v>48.23</v>
      </c>
      <c r="M190" s="149">
        <f t="shared" si="44"/>
        <v>122.5042</v>
      </c>
      <c r="N190" s="116">
        <f t="shared" si="45"/>
        <v>0</v>
      </c>
      <c r="O190" s="338">
        <v>0</v>
      </c>
      <c r="P190" s="149">
        <f t="shared" si="46"/>
        <v>0</v>
      </c>
      <c r="Q190" s="116">
        <f t="shared" si="47"/>
        <v>0</v>
      </c>
      <c r="R190" s="149">
        <f t="shared" si="48"/>
        <v>0</v>
      </c>
      <c r="V190" s="116"/>
    </row>
    <row r="191" spans="1:22" s="8" customFormat="1" ht="16.5" customHeight="1">
      <c r="A191" s="11">
        <v>4</v>
      </c>
      <c r="B191" s="133" t="s">
        <v>377</v>
      </c>
      <c r="C191" s="398" t="s">
        <v>378</v>
      </c>
      <c r="D191" s="334">
        <v>1</v>
      </c>
      <c r="E191" s="230">
        <v>16.1</v>
      </c>
      <c r="F191" s="149">
        <f t="shared" si="40"/>
        <v>16.1</v>
      </c>
      <c r="G191" s="335">
        <v>47.75</v>
      </c>
      <c r="H191" s="149">
        <f t="shared" si="41"/>
        <v>121.285</v>
      </c>
      <c r="I191" s="116">
        <f t="shared" si="42"/>
        <v>1952.6885000000002</v>
      </c>
      <c r="J191" s="336">
        <v>0</v>
      </c>
      <c r="K191" s="116">
        <f t="shared" si="43"/>
        <v>0</v>
      </c>
      <c r="L191" s="337">
        <f t="shared" si="49"/>
        <v>47.75</v>
      </c>
      <c r="M191" s="149">
        <f t="shared" si="44"/>
        <v>121.285</v>
      </c>
      <c r="N191" s="116">
        <f t="shared" si="45"/>
        <v>0</v>
      </c>
      <c r="O191" s="338">
        <v>1.15</v>
      </c>
      <c r="P191" s="149">
        <f t="shared" si="46"/>
        <v>2.921</v>
      </c>
      <c r="Q191" s="116">
        <f t="shared" si="47"/>
        <v>47.0281</v>
      </c>
      <c r="R191" s="149">
        <f t="shared" si="48"/>
        <v>0</v>
      </c>
      <c r="V191" s="116"/>
    </row>
    <row r="192" spans="1:22" s="8" customFormat="1" ht="16.5" customHeight="1">
      <c r="A192" s="11">
        <v>4</v>
      </c>
      <c r="B192" s="133" t="s">
        <v>379</v>
      </c>
      <c r="C192" s="398" t="s">
        <v>380</v>
      </c>
      <c r="D192" s="334">
        <v>1</v>
      </c>
      <c r="E192" s="230">
        <v>0.9</v>
      </c>
      <c r="F192" s="149">
        <f t="shared" si="40"/>
        <v>0.9</v>
      </c>
      <c r="G192" s="335">
        <v>45.17</v>
      </c>
      <c r="H192" s="149">
        <f t="shared" si="41"/>
        <v>114.7318</v>
      </c>
      <c r="I192" s="116">
        <f t="shared" si="42"/>
        <v>103.25862000000001</v>
      </c>
      <c r="J192" s="336">
        <v>0</v>
      </c>
      <c r="K192" s="116">
        <f t="shared" si="43"/>
        <v>0</v>
      </c>
      <c r="L192" s="337">
        <f t="shared" si="49"/>
        <v>45.17</v>
      </c>
      <c r="M192" s="149">
        <f t="shared" si="44"/>
        <v>114.7318</v>
      </c>
      <c r="N192" s="116">
        <f t="shared" si="45"/>
        <v>0</v>
      </c>
      <c r="O192" s="338">
        <v>0</v>
      </c>
      <c r="P192" s="149">
        <f t="shared" si="46"/>
        <v>0</v>
      </c>
      <c r="Q192" s="116">
        <f t="shared" si="47"/>
        <v>0</v>
      </c>
      <c r="R192" s="149">
        <f t="shared" si="48"/>
        <v>0</v>
      </c>
      <c r="V192" s="116"/>
    </row>
    <row r="193" spans="1:22" s="8" customFormat="1" ht="16.5" customHeight="1">
      <c r="A193" s="11">
        <v>4</v>
      </c>
      <c r="B193" s="133" t="s">
        <v>381</v>
      </c>
      <c r="C193" s="398" t="s">
        <v>382</v>
      </c>
      <c r="D193" s="334">
        <v>1</v>
      </c>
      <c r="E193" s="230">
        <v>13.8</v>
      </c>
      <c r="F193" s="149">
        <f t="shared" si="40"/>
        <v>13.8</v>
      </c>
      <c r="G193" s="335">
        <v>47.69</v>
      </c>
      <c r="H193" s="149">
        <f t="shared" si="41"/>
        <v>121.1326</v>
      </c>
      <c r="I193" s="116">
        <f t="shared" si="42"/>
        <v>1671.62988</v>
      </c>
      <c r="J193" s="336">
        <v>0</v>
      </c>
      <c r="K193" s="116">
        <f t="shared" si="43"/>
        <v>0</v>
      </c>
      <c r="L193" s="337">
        <f t="shared" si="49"/>
        <v>47.69</v>
      </c>
      <c r="M193" s="149">
        <f t="shared" si="44"/>
        <v>121.1326</v>
      </c>
      <c r="N193" s="116">
        <f t="shared" si="45"/>
        <v>0</v>
      </c>
      <c r="O193" s="338">
        <v>0</v>
      </c>
      <c r="P193" s="149">
        <f t="shared" si="46"/>
        <v>0</v>
      </c>
      <c r="Q193" s="116">
        <f t="shared" si="47"/>
        <v>0</v>
      </c>
      <c r="R193" s="149">
        <f t="shared" si="48"/>
        <v>0</v>
      </c>
      <c r="V193" s="116"/>
    </row>
    <row r="194" spans="1:22" s="8" customFormat="1" ht="16.5" customHeight="1">
      <c r="A194" s="11">
        <v>4</v>
      </c>
      <c r="B194" s="133" t="s">
        <v>383</v>
      </c>
      <c r="C194" s="398" t="s">
        <v>467</v>
      </c>
      <c r="D194" s="334">
        <v>1</v>
      </c>
      <c r="E194" s="230">
        <v>8</v>
      </c>
      <c r="F194" s="149">
        <f t="shared" si="40"/>
        <v>8</v>
      </c>
      <c r="G194" s="335">
        <v>48.12</v>
      </c>
      <c r="H194" s="149">
        <f t="shared" si="41"/>
        <v>122.2248</v>
      </c>
      <c r="I194" s="116">
        <f t="shared" si="42"/>
        <v>977.7984</v>
      </c>
      <c r="J194" s="336">
        <v>0</v>
      </c>
      <c r="K194" s="116">
        <f t="shared" si="43"/>
        <v>0</v>
      </c>
      <c r="L194" s="337">
        <f t="shared" si="49"/>
        <v>48.12</v>
      </c>
      <c r="M194" s="149">
        <f t="shared" si="44"/>
        <v>122.2248</v>
      </c>
      <c r="N194" s="116">
        <f t="shared" si="45"/>
        <v>0</v>
      </c>
      <c r="O194" s="338">
        <v>0</v>
      </c>
      <c r="P194" s="149">
        <f t="shared" si="46"/>
        <v>0</v>
      </c>
      <c r="Q194" s="116">
        <f t="shared" si="47"/>
        <v>0</v>
      </c>
      <c r="R194" s="149">
        <f t="shared" si="48"/>
        <v>0</v>
      </c>
      <c r="V194" s="116"/>
    </row>
    <row r="195" spans="1:22" s="8" customFormat="1" ht="16.5" customHeight="1">
      <c r="A195" s="11">
        <v>4</v>
      </c>
      <c r="B195" s="133" t="s">
        <v>384</v>
      </c>
      <c r="C195" s="398" t="s">
        <v>385</v>
      </c>
      <c r="D195" s="334">
        <v>1</v>
      </c>
      <c r="E195" s="230">
        <v>0.4</v>
      </c>
      <c r="F195" s="149">
        <f t="shared" si="40"/>
        <v>0.4</v>
      </c>
      <c r="G195" s="335">
        <v>51.512</v>
      </c>
      <c r="H195" s="149">
        <f t="shared" si="41"/>
        <v>130.84048</v>
      </c>
      <c r="I195" s="116">
        <f t="shared" si="42"/>
        <v>52.33619200000001</v>
      </c>
      <c r="J195" s="253">
        <v>0</v>
      </c>
      <c r="K195" s="116">
        <f t="shared" si="43"/>
        <v>0</v>
      </c>
      <c r="L195" s="337">
        <f t="shared" si="49"/>
        <v>51.512</v>
      </c>
      <c r="M195" s="149">
        <f t="shared" si="44"/>
        <v>130.84048</v>
      </c>
      <c r="N195" s="116">
        <f t="shared" si="45"/>
        <v>0</v>
      </c>
      <c r="O195" s="338">
        <v>-0.5</v>
      </c>
      <c r="P195" s="149">
        <f t="shared" si="46"/>
        <v>-1.27</v>
      </c>
      <c r="Q195" s="116">
        <f t="shared" si="47"/>
        <v>-0.508</v>
      </c>
      <c r="R195" s="149">
        <f t="shared" si="48"/>
        <v>0</v>
      </c>
      <c r="V195" s="116"/>
    </row>
    <row r="196" spans="1:22" s="8" customFormat="1" ht="16.5" customHeight="1">
      <c r="A196" s="11">
        <v>4</v>
      </c>
      <c r="B196" s="400" t="s">
        <v>512</v>
      </c>
      <c r="C196" s="401" t="s">
        <v>513</v>
      </c>
      <c r="D196" s="143">
        <v>1</v>
      </c>
      <c r="E196" s="230">
        <v>47.9</v>
      </c>
      <c r="F196" s="149">
        <f t="shared" si="40"/>
        <v>47.9</v>
      </c>
      <c r="G196" s="335">
        <v>52.47</v>
      </c>
      <c r="H196" s="149">
        <f t="shared" si="41"/>
        <v>133.2738</v>
      </c>
      <c r="I196" s="402">
        <f t="shared" si="42"/>
        <v>6383.815019999999</v>
      </c>
      <c r="J196" s="254">
        <v>0</v>
      </c>
      <c r="K196" s="149">
        <f t="shared" si="43"/>
        <v>0</v>
      </c>
      <c r="L196" s="337">
        <f t="shared" si="49"/>
        <v>52.47</v>
      </c>
      <c r="M196" s="149">
        <f t="shared" si="44"/>
        <v>133.2738</v>
      </c>
      <c r="N196" s="116"/>
      <c r="O196" s="338">
        <v>0</v>
      </c>
      <c r="P196" s="149">
        <f t="shared" si="46"/>
        <v>0</v>
      </c>
      <c r="Q196" s="116">
        <f t="shared" si="47"/>
        <v>0</v>
      </c>
      <c r="R196" s="149">
        <f t="shared" si="48"/>
        <v>0</v>
      </c>
      <c r="V196" s="116"/>
    </row>
    <row r="197" spans="1:22" s="8" customFormat="1" ht="16.5" customHeight="1">
      <c r="A197" s="11">
        <v>4</v>
      </c>
      <c r="B197" s="133" t="s">
        <v>514</v>
      </c>
      <c r="C197" s="398" t="s">
        <v>515</v>
      </c>
      <c r="D197" s="334">
        <v>1</v>
      </c>
      <c r="E197" s="230">
        <v>112.2</v>
      </c>
      <c r="F197" s="403">
        <f>E197*D197+(Oil_wt_2-(C20*Cal!D44*Oil_density))</f>
        <v>764.4163831967345</v>
      </c>
      <c r="G197" s="335">
        <v>54.613</v>
      </c>
      <c r="H197" s="149">
        <f t="shared" si="41"/>
        <v>138.71702</v>
      </c>
      <c r="I197" s="116">
        <f t="shared" si="42"/>
        <v>106037.56271622908</v>
      </c>
      <c r="J197" s="404">
        <f>Total_Oil_Vol-C20*Cal!D44+E197/1</f>
        <v>904.7827964476054</v>
      </c>
      <c r="K197" s="116">
        <f t="shared" si="43"/>
        <v>904.7827964476054</v>
      </c>
      <c r="L197" s="405">
        <v>54.613</v>
      </c>
      <c r="M197" s="149">
        <f t="shared" si="44"/>
        <v>138.71702</v>
      </c>
      <c r="N197" s="116">
        <f aca="true" t="shared" si="50" ref="N197:N216">K197*M197</f>
        <v>125508.7732704784</v>
      </c>
      <c r="O197" s="338">
        <v>0</v>
      </c>
      <c r="P197" s="149">
        <f t="shared" si="46"/>
        <v>0</v>
      </c>
      <c r="Q197" s="116">
        <f t="shared" si="47"/>
        <v>0</v>
      </c>
      <c r="R197" s="149">
        <f t="shared" si="48"/>
        <v>0</v>
      </c>
      <c r="S197" s="122"/>
      <c r="V197" s="116"/>
    </row>
    <row r="198" spans="1:22" s="8" customFormat="1" ht="16.5" customHeight="1">
      <c r="A198" s="11">
        <v>4</v>
      </c>
      <c r="B198" s="133" t="s">
        <v>516</v>
      </c>
      <c r="C198" s="398" t="s">
        <v>517</v>
      </c>
      <c r="D198" s="334">
        <v>1</v>
      </c>
      <c r="E198" s="230">
        <v>108</v>
      </c>
      <c r="F198" s="149">
        <f aca="true" t="shared" si="51" ref="F198:F216">E198*D198</f>
        <v>108</v>
      </c>
      <c r="G198" s="335">
        <v>51.6</v>
      </c>
      <c r="H198" s="149">
        <f t="shared" si="41"/>
        <v>131.064</v>
      </c>
      <c r="I198" s="116">
        <f t="shared" si="42"/>
        <v>14154.911999999998</v>
      </c>
      <c r="J198" s="253">
        <f>E198/Alum_density</f>
        <v>39.80833026170291</v>
      </c>
      <c r="K198" s="116">
        <f t="shared" si="43"/>
        <v>39.80833026170291</v>
      </c>
      <c r="L198" s="337">
        <f aca="true" t="shared" si="52" ref="L198:L216">G198</f>
        <v>51.6</v>
      </c>
      <c r="M198" s="149">
        <f t="shared" si="44"/>
        <v>131.064</v>
      </c>
      <c r="N198" s="116">
        <f t="shared" si="50"/>
        <v>5217.43899741983</v>
      </c>
      <c r="O198" s="338">
        <v>0</v>
      </c>
      <c r="P198" s="149">
        <f t="shared" si="46"/>
        <v>0</v>
      </c>
      <c r="Q198" s="116">
        <f t="shared" si="47"/>
        <v>0</v>
      </c>
      <c r="R198" s="149">
        <f t="shared" si="48"/>
        <v>0</v>
      </c>
      <c r="V198" s="116"/>
    </row>
    <row r="199" spans="1:22" s="8" customFormat="1" ht="16.5" customHeight="1">
      <c r="A199" s="11">
        <v>4</v>
      </c>
      <c r="B199" s="133" t="s">
        <v>518</v>
      </c>
      <c r="C199" s="11">
        <v>52160</v>
      </c>
      <c r="D199" s="334">
        <v>1</v>
      </c>
      <c r="E199" s="230">
        <v>11.7</v>
      </c>
      <c r="F199" s="149">
        <f t="shared" si="51"/>
        <v>11.7</v>
      </c>
      <c r="G199" s="335">
        <v>51.512</v>
      </c>
      <c r="H199" s="149">
        <f t="shared" si="41"/>
        <v>130.84048</v>
      </c>
      <c r="I199" s="116">
        <f t="shared" si="42"/>
        <v>1530.8336160000001</v>
      </c>
      <c r="J199" s="253">
        <v>0.793</v>
      </c>
      <c r="K199" s="149">
        <f t="shared" si="43"/>
        <v>0.793</v>
      </c>
      <c r="L199" s="149">
        <f t="shared" si="52"/>
        <v>51.512</v>
      </c>
      <c r="M199" s="149">
        <f t="shared" si="44"/>
        <v>130.84048</v>
      </c>
      <c r="N199" s="116">
        <f t="shared" si="50"/>
        <v>103.75650064000001</v>
      </c>
      <c r="O199" s="338">
        <v>1.7</v>
      </c>
      <c r="P199" s="149">
        <f t="shared" si="46"/>
        <v>4.318</v>
      </c>
      <c r="Q199" s="116">
        <f t="shared" si="47"/>
        <v>50.520599999999995</v>
      </c>
      <c r="R199" s="149">
        <f t="shared" si="48"/>
        <v>3.424174</v>
      </c>
      <c r="V199" s="116"/>
    </row>
    <row r="200" spans="1:22" s="8" customFormat="1" ht="16.5" customHeight="1">
      <c r="A200" s="11">
        <v>4</v>
      </c>
      <c r="B200" s="133" t="s">
        <v>519</v>
      </c>
      <c r="C200" s="11">
        <v>52160</v>
      </c>
      <c r="D200" s="334">
        <v>1</v>
      </c>
      <c r="E200" s="230">
        <v>11.7</v>
      </c>
      <c r="F200" s="149">
        <f t="shared" si="51"/>
        <v>11.7</v>
      </c>
      <c r="G200" s="335">
        <v>51.512</v>
      </c>
      <c r="H200" s="149">
        <f t="shared" si="41"/>
        <v>130.84048</v>
      </c>
      <c r="I200" s="116">
        <f t="shared" si="42"/>
        <v>1530.8336160000001</v>
      </c>
      <c r="J200" s="253">
        <v>0.793</v>
      </c>
      <c r="K200" s="149">
        <f t="shared" si="43"/>
        <v>0.793</v>
      </c>
      <c r="L200" s="149">
        <f t="shared" si="52"/>
        <v>51.512</v>
      </c>
      <c r="M200" s="149">
        <f t="shared" si="44"/>
        <v>130.84048</v>
      </c>
      <c r="N200" s="116">
        <f t="shared" si="50"/>
        <v>103.75650064000001</v>
      </c>
      <c r="O200" s="338">
        <v>0</v>
      </c>
      <c r="P200" s="149">
        <f t="shared" si="46"/>
        <v>0</v>
      </c>
      <c r="Q200" s="116">
        <f t="shared" si="47"/>
        <v>0</v>
      </c>
      <c r="R200" s="149">
        <f t="shared" si="48"/>
        <v>0</v>
      </c>
      <c r="V200" s="116"/>
    </row>
    <row r="201" spans="1:22" s="8" customFormat="1" ht="16.5" customHeight="1">
      <c r="A201" s="11">
        <v>4</v>
      </c>
      <c r="B201" s="133" t="s">
        <v>520</v>
      </c>
      <c r="C201" s="11">
        <v>52160</v>
      </c>
      <c r="D201" s="334">
        <v>1</v>
      </c>
      <c r="E201" s="230">
        <v>11.7</v>
      </c>
      <c r="F201" s="149">
        <f t="shared" si="51"/>
        <v>11.7</v>
      </c>
      <c r="G201" s="335">
        <v>51.512</v>
      </c>
      <c r="H201" s="149">
        <f t="shared" si="41"/>
        <v>130.84048</v>
      </c>
      <c r="I201" s="116">
        <f t="shared" si="42"/>
        <v>1530.8336160000001</v>
      </c>
      <c r="J201" s="253">
        <v>0.793</v>
      </c>
      <c r="K201" s="149">
        <f t="shared" si="43"/>
        <v>0.793</v>
      </c>
      <c r="L201" s="149">
        <f t="shared" si="52"/>
        <v>51.512</v>
      </c>
      <c r="M201" s="149">
        <f t="shared" si="44"/>
        <v>130.84048</v>
      </c>
      <c r="N201" s="116">
        <f t="shared" si="50"/>
        <v>103.75650064000001</v>
      </c>
      <c r="O201" s="338">
        <v>-1.7</v>
      </c>
      <c r="P201" s="149">
        <f t="shared" si="46"/>
        <v>-4.318</v>
      </c>
      <c r="Q201" s="116">
        <f t="shared" si="47"/>
        <v>-50.520599999999995</v>
      </c>
      <c r="R201" s="149">
        <f t="shared" si="48"/>
        <v>-3.424174</v>
      </c>
      <c r="V201" s="116"/>
    </row>
    <row r="202" spans="1:22" s="8" customFormat="1" ht="16.5" customHeight="1">
      <c r="A202" s="11">
        <v>4</v>
      </c>
      <c r="B202" s="133" t="s">
        <v>521</v>
      </c>
      <c r="C202" s="11">
        <v>52160</v>
      </c>
      <c r="D202" s="334">
        <v>1</v>
      </c>
      <c r="E202" s="230">
        <v>11.8</v>
      </c>
      <c r="F202" s="149">
        <f t="shared" si="51"/>
        <v>11.8</v>
      </c>
      <c r="G202" s="335">
        <v>51.512</v>
      </c>
      <c r="H202" s="149">
        <f t="shared" si="41"/>
        <v>130.84048</v>
      </c>
      <c r="I202" s="116">
        <f t="shared" si="42"/>
        <v>1543.9176640000003</v>
      </c>
      <c r="J202" s="253">
        <v>0.793</v>
      </c>
      <c r="K202" s="149">
        <f t="shared" si="43"/>
        <v>0.793</v>
      </c>
      <c r="L202" s="149">
        <f t="shared" si="52"/>
        <v>51.512</v>
      </c>
      <c r="M202" s="149">
        <f t="shared" si="44"/>
        <v>130.84048</v>
      </c>
      <c r="N202" s="116">
        <f t="shared" si="50"/>
        <v>103.75650064000001</v>
      </c>
      <c r="O202" s="338">
        <v>-2.3</v>
      </c>
      <c r="P202" s="149">
        <f t="shared" si="46"/>
        <v>-5.842</v>
      </c>
      <c r="Q202" s="116">
        <f t="shared" si="47"/>
        <v>-68.9356</v>
      </c>
      <c r="R202" s="149">
        <f t="shared" si="48"/>
        <v>-4.632706</v>
      </c>
      <c r="V202" s="116"/>
    </row>
    <row r="203" spans="1:22" s="8" customFormat="1" ht="16.5" customHeight="1">
      <c r="A203" s="11">
        <v>4</v>
      </c>
      <c r="B203" s="133" t="s">
        <v>522</v>
      </c>
      <c r="C203" s="11">
        <v>52160</v>
      </c>
      <c r="D203" s="334">
        <v>1</v>
      </c>
      <c r="E203" s="230">
        <v>11.8</v>
      </c>
      <c r="F203" s="149">
        <f t="shared" si="51"/>
        <v>11.8</v>
      </c>
      <c r="G203" s="335">
        <v>51.512</v>
      </c>
      <c r="H203" s="149">
        <f t="shared" si="41"/>
        <v>130.84048</v>
      </c>
      <c r="I203" s="116">
        <f t="shared" si="42"/>
        <v>1543.9176640000003</v>
      </c>
      <c r="J203" s="253">
        <v>0.793</v>
      </c>
      <c r="K203" s="149">
        <f t="shared" si="43"/>
        <v>0.793</v>
      </c>
      <c r="L203" s="149">
        <f t="shared" si="52"/>
        <v>51.512</v>
      </c>
      <c r="M203" s="149">
        <f t="shared" si="44"/>
        <v>130.84048</v>
      </c>
      <c r="N203" s="116">
        <f t="shared" si="50"/>
        <v>103.75650064000001</v>
      </c>
      <c r="O203" s="338">
        <v>-1.7</v>
      </c>
      <c r="P203" s="149">
        <f t="shared" si="46"/>
        <v>-4.318</v>
      </c>
      <c r="Q203" s="116">
        <f t="shared" si="47"/>
        <v>-50.9524</v>
      </c>
      <c r="R203" s="149">
        <f t="shared" si="48"/>
        <v>-3.424174</v>
      </c>
      <c r="V203" s="116"/>
    </row>
    <row r="204" spans="1:22" s="8" customFormat="1" ht="16.5" customHeight="1">
      <c r="A204" s="11">
        <v>4</v>
      </c>
      <c r="B204" s="133" t="s">
        <v>399</v>
      </c>
      <c r="C204" s="11">
        <v>52160</v>
      </c>
      <c r="D204" s="334">
        <v>1</v>
      </c>
      <c r="E204" s="230">
        <v>11.8</v>
      </c>
      <c r="F204" s="149">
        <f t="shared" si="51"/>
        <v>11.8</v>
      </c>
      <c r="G204" s="335">
        <v>51.512</v>
      </c>
      <c r="H204" s="149">
        <f t="shared" si="41"/>
        <v>130.84048</v>
      </c>
      <c r="I204" s="116">
        <f t="shared" si="42"/>
        <v>1543.9176640000003</v>
      </c>
      <c r="J204" s="253">
        <v>0.793</v>
      </c>
      <c r="K204" s="149">
        <f t="shared" si="43"/>
        <v>0.793</v>
      </c>
      <c r="L204" s="149">
        <f t="shared" si="52"/>
        <v>51.512</v>
      </c>
      <c r="M204" s="149">
        <f t="shared" si="44"/>
        <v>130.84048</v>
      </c>
      <c r="N204" s="116">
        <f t="shared" si="50"/>
        <v>103.75650064000001</v>
      </c>
      <c r="O204" s="338">
        <v>1.7</v>
      </c>
      <c r="P204" s="149">
        <f t="shared" si="46"/>
        <v>4.318</v>
      </c>
      <c r="Q204" s="116">
        <f t="shared" si="47"/>
        <v>50.9524</v>
      </c>
      <c r="R204" s="149">
        <f t="shared" si="48"/>
        <v>3.424174</v>
      </c>
      <c r="V204" s="116"/>
    </row>
    <row r="205" spans="1:22" s="8" customFormat="1" ht="16.5" customHeight="1">
      <c r="A205" s="11">
        <v>4</v>
      </c>
      <c r="B205" s="133" t="s">
        <v>400</v>
      </c>
      <c r="C205" s="398" t="s">
        <v>401</v>
      </c>
      <c r="D205" s="334">
        <v>1</v>
      </c>
      <c r="E205" s="406" t="s">
        <v>402</v>
      </c>
      <c r="F205" s="149">
        <f t="shared" si="51"/>
        <v>50.6</v>
      </c>
      <c r="G205" s="335">
        <v>51.512</v>
      </c>
      <c r="H205" s="149">
        <f t="shared" si="41"/>
        <v>130.84048</v>
      </c>
      <c r="I205" s="116">
        <f t="shared" si="42"/>
        <v>6620.528288</v>
      </c>
      <c r="J205" s="253">
        <v>6.8</v>
      </c>
      <c r="K205" s="149">
        <f t="shared" si="43"/>
        <v>6.8</v>
      </c>
      <c r="L205" s="149">
        <f t="shared" si="52"/>
        <v>51.512</v>
      </c>
      <c r="M205" s="149">
        <f t="shared" si="44"/>
        <v>130.84048</v>
      </c>
      <c r="N205" s="116">
        <f t="shared" si="50"/>
        <v>889.715264</v>
      </c>
      <c r="O205" s="338">
        <v>0</v>
      </c>
      <c r="P205" s="149">
        <f t="shared" si="46"/>
        <v>0</v>
      </c>
      <c r="Q205" s="116">
        <f t="shared" si="47"/>
        <v>0</v>
      </c>
      <c r="R205" s="149">
        <f t="shared" si="48"/>
        <v>0</v>
      </c>
      <c r="V205" s="116"/>
    </row>
    <row r="206" spans="1:22" s="8" customFormat="1" ht="16.5" customHeight="1">
      <c r="A206" s="11">
        <v>4</v>
      </c>
      <c r="B206" s="133" t="s">
        <v>403</v>
      </c>
      <c r="C206" s="398" t="s">
        <v>404</v>
      </c>
      <c r="D206" s="334">
        <v>1</v>
      </c>
      <c r="E206" s="230">
        <v>11.5</v>
      </c>
      <c r="F206" s="149">
        <f t="shared" si="51"/>
        <v>11.5</v>
      </c>
      <c r="G206" s="335">
        <v>51.512</v>
      </c>
      <c r="H206" s="149">
        <f t="shared" si="41"/>
        <v>130.84048</v>
      </c>
      <c r="I206" s="116">
        <f t="shared" si="42"/>
        <v>1504.6655200000002</v>
      </c>
      <c r="J206" s="253">
        <v>2.7</v>
      </c>
      <c r="K206" s="149">
        <f t="shared" si="43"/>
        <v>2.7</v>
      </c>
      <c r="L206" s="337">
        <f t="shared" si="52"/>
        <v>51.512</v>
      </c>
      <c r="M206" s="149">
        <f t="shared" si="44"/>
        <v>130.84048</v>
      </c>
      <c r="N206" s="116">
        <f t="shared" si="50"/>
        <v>353.26929600000005</v>
      </c>
      <c r="O206" s="338">
        <v>2.3</v>
      </c>
      <c r="P206" s="149">
        <f t="shared" si="46"/>
        <v>5.842</v>
      </c>
      <c r="Q206" s="116">
        <f t="shared" si="47"/>
        <v>67.18299999999999</v>
      </c>
      <c r="R206" s="149">
        <f t="shared" si="48"/>
        <v>15.7734</v>
      </c>
      <c r="V206" s="116"/>
    </row>
    <row r="207" spans="1:22" s="8" customFormat="1" ht="16.5" customHeight="1">
      <c r="A207" s="11">
        <v>4</v>
      </c>
      <c r="B207" s="133" t="s">
        <v>405</v>
      </c>
      <c r="C207" s="11">
        <v>49804</v>
      </c>
      <c r="D207" s="334">
        <v>1</v>
      </c>
      <c r="E207" s="230">
        <v>41.2</v>
      </c>
      <c r="F207" s="149">
        <f t="shared" si="51"/>
        <v>41.2</v>
      </c>
      <c r="G207" s="335">
        <v>47.3</v>
      </c>
      <c r="H207" s="149">
        <f t="shared" si="41"/>
        <v>120.142</v>
      </c>
      <c r="I207" s="116">
        <f t="shared" si="42"/>
        <v>4949.8504</v>
      </c>
      <c r="J207" s="336">
        <v>0</v>
      </c>
      <c r="K207" s="116">
        <f t="shared" si="43"/>
        <v>0</v>
      </c>
      <c r="L207" s="337">
        <f t="shared" si="52"/>
        <v>47.3</v>
      </c>
      <c r="M207" s="149">
        <f t="shared" si="44"/>
        <v>120.142</v>
      </c>
      <c r="N207" s="116">
        <f t="shared" si="50"/>
        <v>0</v>
      </c>
      <c r="O207" s="338">
        <v>0.75</v>
      </c>
      <c r="P207" s="149">
        <f t="shared" si="46"/>
        <v>1.905</v>
      </c>
      <c r="Q207" s="116">
        <f t="shared" si="47"/>
        <v>78.486</v>
      </c>
      <c r="R207" s="149">
        <f t="shared" si="48"/>
        <v>0</v>
      </c>
      <c r="V207" s="116"/>
    </row>
    <row r="208" spans="1:22" s="8" customFormat="1" ht="16.5" customHeight="1">
      <c r="A208" s="11">
        <v>4</v>
      </c>
      <c r="B208" s="133" t="s">
        <v>406</v>
      </c>
      <c r="C208" s="11">
        <v>52253</v>
      </c>
      <c r="D208" s="334">
        <v>1</v>
      </c>
      <c r="E208" s="230">
        <v>130.6</v>
      </c>
      <c r="F208" s="149">
        <f t="shared" si="51"/>
        <v>130.6</v>
      </c>
      <c r="G208" s="335">
        <v>48.5</v>
      </c>
      <c r="H208" s="149">
        <f t="shared" si="41"/>
        <v>123.19</v>
      </c>
      <c r="I208" s="116">
        <f t="shared" si="42"/>
        <v>16088.614</v>
      </c>
      <c r="J208" s="336">
        <v>0</v>
      </c>
      <c r="K208" s="116">
        <f t="shared" si="43"/>
        <v>0</v>
      </c>
      <c r="L208" s="337">
        <f t="shared" si="52"/>
        <v>48.5</v>
      </c>
      <c r="M208" s="149">
        <f t="shared" si="44"/>
        <v>123.19</v>
      </c>
      <c r="N208" s="116">
        <f t="shared" si="50"/>
        <v>0</v>
      </c>
      <c r="O208" s="338">
        <v>1.8</v>
      </c>
      <c r="P208" s="149">
        <f t="shared" si="46"/>
        <v>4.572</v>
      </c>
      <c r="Q208" s="116">
        <f t="shared" si="47"/>
        <v>597.1032</v>
      </c>
      <c r="R208" s="149">
        <f t="shared" si="48"/>
        <v>0</v>
      </c>
      <c r="V208" s="116"/>
    </row>
    <row r="209" spans="1:22" s="8" customFormat="1" ht="16.5" customHeight="1">
      <c r="A209" s="11">
        <v>4</v>
      </c>
      <c r="B209" s="133" t="s">
        <v>407</v>
      </c>
      <c r="C209" s="11">
        <v>55203</v>
      </c>
      <c r="D209" s="334">
        <v>1</v>
      </c>
      <c r="E209" s="230">
        <v>0.4</v>
      </c>
      <c r="F209" s="149">
        <f t="shared" si="51"/>
        <v>0.4</v>
      </c>
      <c r="G209" s="335">
        <v>47.3</v>
      </c>
      <c r="H209" s="149">
        <f t="shared" si="41"/>
        <v>120.142</v>
      </c>
      <c r="I209" s="116">
        <f t="shared" si="42"/>
        <v>48.0568</v>
      </c>
      <c r="J209" s="336">
        <v>0</v>
      </c>
      <c r="K209" s="116">
        <f t="shared" si="43"/>
        <v>0</v>
      </c>
      <c r="L209" s="337">
        <f t="shared" si="52"/>
        <v>47.3</v>
      </c>
      <c r="M209" s="149">
        <f t="shared" si="44"/>
        <v>120.142</v>
      </c>
      <c r="N209" s="116">
        <f t="shared" si="50"/>
        <v>0</v>
      </c>
      <c r="O209" s="338">
        <v>1.8</v>
      </c>
      <c r="P209" s="149">
        <f t="shared" si="46"/>
        <v>4.572</v>
      </c>
      <c r="Q209" s="116">
        <f t="shared" si="47"/>
        <v>1.8288000000000002</v>
      </c>
      <c r="R209" s="149">
        <f t="shared" si="48"/>
        <v>0</v>
      </c>
      <c r="V209" s="116"/>
    </row>
    <row r="210" spans="1:22" s="8" customFormat="1" ht="16.5" customHeight="1">
      <c r="A210" s="11">
        <v>4</v>
      </c>
      <c r="B210" s="133" t="s">
        <v>408</v>
      </c>
      <c r="C210" s="398" t="s">
        <v>409</v>
      </c>
      <c r="D210" s="334">
        <v>1</v>
      </c>
      <c r="E210" s="230">
        <v>0.6</v>
      </c>
      <c r="F210" s="149">
        <f t="shared" si="51"/>
        <v>0.6</v>
      </c>
      <c r="G210" s="335">
        <v>46.77</v>
      </c>
      <c r="H210" s="149">
        <f t="shared" si="41"/>
        <v>118.79580000000001</v>
      </c>
      <c r="I210" s="116">
        <f t="shared" si="42"/>
        <v>71.27748000000001</v>
      </c>
      <c r="J210" s="336">
        <v>0</v>
      </c>
      <c r="K210" s="116">
        <f t="shared" si="43"/>
        <v>0</v>
      </c>
      <c r="L210" s="337">
        <f t="shared" si="52"/>
        <v>46.77</v>
      </c>
      <c r="M210" s="149">
        <f t="shared" si="44"/>
        <v>118.79580000000001</v>
      </c>
      <c r="N210" s="116">
        <f t="shared" si="50"/>
        <v>0</v>
      </c>
      <c r="O210" s="338">
        <v>0</v>
      </c>
      <c r="P210" s="149">
        <f t="shared" si="46"/>
        <v>0</v>
      </c>
      <c r="Q210" s="116">
        <f t="shared" si="47"/>
        <v>0</v>
      </c>
      <c r="R210" s="149">
        <f t="shared" si="48"/>
        <v>0</v>
      </c>
      <c r="V210" s="116"/>
    </row>
    <row r="211" spans="1:22" s="8" customFormat="1" ht="16.5" customHeight="1">
      <c r="A211" s="11">
        <v>4</v>
      </c>
      <c r="B211" s="133" t="s">
        <v>410</v>
      </c>
      <c r="C211" s="11">
        <v>52352</v>
      </c>
      <c r="D211" s="334">
        <v>1</v>
      </c>
      <c r="E211" s="230">
        <v>5.5</v>
      </c>
      <c r="F211" s="149">
        <f t="shared" si="51"/>
        <v>5.5</v>
      </c>
      <c r="G211" s="335">
        <v>46.77</v>
      </c>
      <c r="H211" s="149">
        <f t="shared" si="41"/>
        <v>118.79580000000001</v>
      </c>
      <c r="I211" s="116">
        <f t="shared" si="42"/>
        <v>653.3769000000001</v>
      </c>
      <c r="J211" s="336">
        <v>0</v>
      </c>
      <c r="K211" s="116">
        <f t="shared" si="43"/>
        <v>0</v>
      </c>
      <c r="L211" s="337">
        <f t="shared" si="52"/>
        <v>46.77</v>
      </c>
      <c r="M211" s="149">
        <f t="shared" si="44"/>
        <v>118.79580000000001</v>
      </c>
      <c r="N211" s="116">
        <f t="shared" si="50"/>
        <v>0</v>
      </c>
      <c r="O211" s="338">
        <v>1.85</v>
      </c>
      <c r="P211" s="149">
        <f t="shared" si="46"/>
        <v>4.699000000000001</v>
      </c>
      <c r="Q211" s="116">
        <f t="shared" si="47"/>
        <v>25.844500000000004</v>
      </c>
      <c r="R211" s="149">
        <f t="shared" si="48"/>
        <v>0</v>
      </c>
      <c r="V211" s="116"/>
    </row>
    <row r="212" spans="1:22" s="8" customFormat="1" ht="16.5" customHeight="1">
      <c r="A212" s="11">
        <v>4</v>
      </c>
      <c r="B212" s="133" t="s">
        <v>411</v>
      </c>
      <c r="C212" s="398" t="s">
        <v>412</v>
      </c>
      <c r="D212" s="334">
        <v>1</v>
      </c>
      <c r="E212" s="230">
        <v>2.9</v>
      </c>
      <c r="F212" s="149">
        <f t="shared" si="51"/>
        <v>2.9</v>
      </c>
      <c r="G212" s="335">
        <v>47.28</v>
      </c>
      <c r="H212" s="149">
        <f t="shared" si="41"/>
        <v>120.0912</v>
      </c>
      <c r="I212" s="116">
        <f t="shared" si="42"/>
        <v>348.26448</v>
      </c>
      <c r="J212" s="336">
        <v>0</v>
      </c>
      <c r="K212" s="116">
        <f t="shared" si="43"/>
        <v>0</v>
      </c>
      <c r="L212" s="337">
        <f t="shared" si="52"/>
        <v>47.28</v>
      </c>
      <c r="M212" s="149">
        <f t="shared" si="44"/>
        <v>120.0912</v>
      </c>
      <c r="N212" s="116">
        <f t="shared" si="50"/>
        <v>0</v>
      </c>
      <c r="O212" s="338">
        <v>0</v>
      </c>
      <c r="P212" s="149">
        <f t="shared" si="46"/>
        <v>0</v>
      </c>
      <c r="Q212" s="116">
        <f t="shared" si="47"/>
        <v>0</v>
      </c>
      <c r="R212" s="149">
        <f t="shared" si="48"/>
        <v>0</v>
      </c>
      <c r="V212" s="116"/>
    </row>
    <row r="213" spans="1:22" s="8" customFormat="1" ht="16.5" customHeight="1">
      <c r="A213" s="11">
        <v>4</v>
      </c>
      <c r="B213" s="133" t="s">
        <v>413</v>
      </c>
      <c r="C213" s="11">
        <v>49806</v>
      </c>
      <c r="D213" s="334">
        <v>1</v>
      </c>
      <c r="E213" s="230">
        <v>91.8</v>
      </c>
      <c r="F213" s="149">
        <f t="shared" si="51"/>
        <v>91.8</v>
      </c>
      <c r="G213" s="335">
        <v>46.77</v>
      </c>
      <c r="H213" s="149">
        <f t="shared" si="41"/>
        <v>118.79580000000001</v>
      </c>
      <c r="I213" s="116">
        <f t="shared" si="42"/>
        <v>10905.454440000001</v>
      </c>
      <c r="J213" s="336">
        <v>0</v>
      </c>
      <c r="K213" s="116">
        <f t="shared" si="43"/>
        <v>0</v>
      </c>
      <c r="L213" s="337">
        <f t="shared" si="52"/>
        <v>46.77</v>
      </c>
      <c r="M213" s="149">
        <f t="shared" si="44"/>
        <v>118.79580000000001</v>
      </c>
      <c r="N213" s="116">
        <f t="shared" si="50"/>
        <v>0</v>
      </c>
      <c r="O213" s="338">
        <v>0</v>
      </c>
      <c r="P213" s="149">
        <f t="shared" si="46"/>
        <v>0</v>
      </c>
      <c r="Q213" s="116">
        <f t="shared" si="47"/>
        <v>0</v>
      </c>
      <c r="R213" s="149">
        <f t="shared" si="48"/>
        <v>0</v>
      </c>
      <c r="V213" s="116"/>
    </row>
    <row r="214" spans="1:22" s="8" customFormat="1" ht="16.5" customHeight="1">
      <c r="A214" s="11">
        <v>4</v>
      </c>
      <c r="B214" s="133" t="s">
        <v>414</v>
      </c>
      <c r="C214" s="398" t="s">
        <v>415</v>
      </c>
      <c r="D214" s="334">
        <v>1</v>
      </c>
      <c r="E214" s="230">
        <v>3.6</v>
      </c>
      <c r="F214" s="149">
        <f t="shared" si="51"/>
        <v>3.6</v>
      </c>
      <c r="G214" s="335">
        <v>46.77</v>
      </c>
      <c r="H214" s="149">
        <f t="shared" si="41"/>
        <v>118.79580000000001</v>
      </c>
      <c r="I214" s="116">
        <f t="shared" si="42"/>
        <v>427.66488000000004</v>
      </c>
      <c r="J214" s="336">
        <v>0</v>
      </c>
      <c r="K214" s="116">
        <f t="shared" si="43"/>
        <v>0</v>
      </c>
      <c r="L214" s="337">
        <f t="shared" si="52"/>
        <v>46.77</v>
      </c>
      <c r="M214" s="149">
        <f t="shared" si="44"/>
        <v>118.79580000000001</v>
      </c>
      <c r="N214" s="116">
        <f t="shared" si="50"/>
        <v>0</v>
      </c>
      <c r="O214" s="338">
        <v>0.5</v>
      </c>
      <c r="P214" s="149">
        <f t="shared" si="46"/>
        <v>1.27</v>
      </c>
      <c r="Q214" s="116">
        <f t="shared" si="47"/>
        <v>4.572</v>
      </c>
      <c r="R214" s="149">
        <f t="shared" si="48"/>
        <v>0</v>
      </c>
      <c r="V214" s="116"/>
    </row>
    <row r="215" spans="1:22" s="8" customFormat="1" ht="16.5" customHeight="1">
      <c r="A215" s="11">
        <v>4</v>
      </c>
      <c r="B215" s="133" t="s">
        <v>416</v>
      </c>
      <c r="C215" s="11">
        <v>49805</v>
      </c>
      <c r="D215" s="334">
        <v>1</v>
      </c>
      <c r="E215" s="230">
        <v>18.1</v>
      </c>
      <c r="F215" s="149">
        <f t="shared" si="51"/>
        <v>18.1</v>
      </c>
      <c r="G215" s="335">
        <v>46.5</v>
      </c>
      <c r="H215" s="149">
        <f t="shared" si="41"/>
        <v>118.11</v>
      </c>
      <c r="I215" s="116">
        <f t="shared" si="42"/>
        <v>2137.791</v>
      </c>
      <c r="J215" s="336">
        <v>0</v>
      </c>
      <c r="K215" s="116">
        <f t="shared" si="43"/>
        <v>0</v>
      </c>
      <c r="L215" s="337">
        <f t="shared" si="52"/>
        <v>46.5</v>
      </c>
      <c r="M215" s="149">
        <f t="shared" si="44"/>
        <v>118.11</v>
      </c>
      <c r="N215" s="116">
        <f t="shared" si="50"/>
        <v>0</v>
      </c>
      <c r="O215" s="338">
        <v>0.75</v>
      </c>
      <c r="P215" s="149">
        <f t="shared" si="46"/>
        <v>1.905</v>
      </c>
      <c r="Q215" s="116">
        <f t="shared" si="47"/>
        <v>34.480500000000006</v>
      </c>
      <c r="R215" s="149">
        <f t="shared" si="48"/>
        <v>0</v>
      </c>
      <c r="V215" s="116"/>
    </row>
    <row r="216" spans="1:22" s="8" customFormat="1" ht="16.5" customHeight="1">
      <c r="A216" s="11">
        <v>4</v>
      </c>
      <c r="B216" s="133" t="s">
        <v>417</v>
      </c>
      <c r="C216" s="398" t="s">
        <v>418</v>
      </c>
      <c r="D216" s="334">
        <v>1</v>
      </c>
      <c r="E216" s="230">
        <v>2</v>
      </c>
      <c r="F216" s="149">
        <f t="shared" si="51"/>
        <v>2</v>
      </c>
      <c r="G216" s="335">
        <v>46.625</v>
      </c>
      <c r="H216" s="149">
        <f t="shared" si="41"/>
        <v>118.4275</v>
      </c>
      <c r="I216" s="116">
        <f t="shared" si="42"/>
        <v>236.855</v>
      </c>
      <c r="J216" s="336">
        <v>0</v>
      </c>
      <c r="K216" s="116">
        <f t="shared" si="43"/>
        <v>0</v>
      </c>
      <c r="L216" s="337">
        <f t="shared" si="52"/>
        <v>46.625</v>
      </c>
      <c r="M216" s="149">
        <f t="shared" si="44"/>
        <v>118.4275</v>
      </c>
      <c r="N216" s="116">
        <f t="shared" si="50"/>
        <v>0</v>
      </c>
      <c r="O216" s="338">
        <v>0</v>
      </c>
      <c r="P216" s="149">
        <f t="shared" si="46"/>
        <v>0</v>
      </c>
      <c r="Q216" s="116">
        <f t="shared" si="47"/>
        <v>0</v>
      </c>
      <c r="R216" s="149">
        <f t="shared" si="48"/>
        <v>0</v>
      </c>
      <c r="V216" s="116"/>
    </row>
    <row r="217" spans="1:22" s="8" customFormat="1" ht="16.5" customHeight="1">
      <c r="A217" s="11"/>
      <c r="B217" s="133"/>
      <c r="C217" s="11"/>
      <c r="D217" s="334"/>
      <c r="E217" s="230"/>
      <c r="F217" s="149"/>
      <c r="G217" s="335"/>
      <c r="H217" s="149"/>
      <c r="I217" s="116"/>
      <c r="J217" s="336"/>
      <c r="K217" s="116"/>
      <c r="L217" s="337"/>
      <c r="M217" s="149"/>
      <c r="N217" s="116"/>
      <c r="O217" s="338"/>
      <c r="P217" s="149"/>
      <c r="Q217" s="116"/>
      <c r="R217" s="149"/>
      <c r="V217" s="116"/>
    </row>
    <row r="218" spans="1:22" s="8" customFormat="1" ht="16.5" customHeight="1">
      <c r="A218" s="11">
        <v>3</v>
      </c>
      <c r="B218" s="397" t="s">
        <v>419</v>
      </c>
      <c r="C218" s="116">
        <v>52378</v>
      </c>
      <c r="D218" s="220"/>
      <c r="E218" s="230"/>
      <c r="F218" s="149"/>
      <c r="G218" s="335"/>
      <c r="H218" s="149"/>
      <c r="I218" s="116"/>
      <c r="J218" s="336"/>
      <c r="K218" s="116"/>
      <c r="L218" s="337"/>
      <c r="M218" s="149"/>
      <c r="N218" s="116"/>
      <c r="O218" s="338"/>
      <c r="P218" s="149"/>
      <c r="Q218" s="116"/>
      <c r="R218" s="149"/>
      <c r="V218" s="116"/>
    </row>
    <row r="219" spans="1:22" s="8" customFormat="1" ht="16.5" customHeight="1">
      <c r="A219" s="11"/>
      <c r="B219" s="6" t="s">
        <v>595</v>
      </c>
      <c r="C219" s="149">
        <f>SUM(F221:F230)</f>
        <v>384.20000000000005</v>
      </c>
      <c r="D219" s="220" t="s">
        <v>648</v>
      </c>
      <c r="E219" s="355" t="s">
        <v>656</v>
      </c>
      <c r="F219" s="149"/>
      <c r="G219" s="335"/>
      <c r="H219" s="149"/>
      <c r="I219" s="116"/>
      <c r="J219" s="336"/>
      <c r="K219" s="116"/>
      <c r="L219" s="337"/>
      <c r="M219" s="149"/>
      <c r="N219" s="116"/>
      <c r="O219" s="338"/>
      <c r="P219" s="149"/>
      <c r="Q219" s="116"/>
      <c r="R219" s="149"/>
      <c r="V219" s="116"/>
    </row>
    <row r="220" spans="1:22" s="8" customFormat="1" ht="15.75" customHeight="1">
      <c r="A220" s="11"/>
      <c r="B220" s="6" t="s">
        <v>584</v>
      </c>
      <c r="C220" s="230">
        <v>384.2</v>
      </c>
      <c r="D220" s="220" t="s">
        <v>648</v>
      </c>
      <c r="E220" s="366">
        <f>C220-C219</f>
        <v>0</v>
      </c>
      <c r="F220" s="149"/>
      <c r="G220" s="335"/>
      <c r="H220" s="149"/>
      <c r="I220" s="116"/>
      <c r="J220" s="336"/>
      <c r="K220" s="116"/>
      <c r="L220" s="337"/>
      <c r="M220" s="149"/>
      <c r="N220" s="116"/>
      <c r="O220" s="338"/>
      <c r="P220" s="149"/>
      <c r="Q220" s="116"/>
      <c r="R220" s="149"/>
      <c r="V220" s="116"/>
    </row>
    <row r="221" spans="1:22" s="8" customFormat="1" ht="17.25" customHeight="1">
      <c r="A221" s="11">
        <v>4</v>
      </c>
      <c r="B221" s="133" t="s">
        <v>420</v>
      </c>
      <c r="C221" s="398">
        <v>49808</v>
      </c>
      <c r="D221" s="334">
        <v>1</v>
      </c>
      <c r="E221" s="230">
        <v>22.1</v>
      </c>
      <c r="F221" s="149">
        <f aca="true" t="shared" si="53" ref="F221:F230">E221*D221</f>
        <v>22.1</v>
      </c>
      <c r="G221" s="335">
        <v>48.91</v>
      </c>
      <c r="H221" s="149">
        <f aca="true" t="shared" si="54" ref="H221:H230">G221*2.54</f>
        <v>124.2314</v>
      </c>
      <c r="I221" s="116">
        <f aca="true" t="shared" si="55" ref="I221:I230">F221*H221</f>
        <v>2745.51394</v>
      </c>
      <c r="J221" s="336">
        <v>0</v>
      </c>
      <c r="K221" s="116">
        <f aca="true" t="shared" si="56" ref="K221:K230">J221*D221</f>
        <v>0</v>
      </c>
      <c r="L221" s="337">
        <f aca="true" t="shared" si="57" ref="L221:L230">G221</f>
        <v>48.91</v>
      </c>
      <c r="M221" s="149">
        <f aca="true" t="shared" si="58" ref="M221:M230">L221*2.54</f>
        <v>124.2314</v>
      </c>
      <c r="N221" s="116">
        <f aca="true" t="shared" si="59" ref="N221:N229">K221*M221</f>
        <v>0</v>
      </c>
      <c r="O221" s="338">
        <v>0</v>
      </c>
      <c r="P221" s="149">
        <f aca="true" t="shared" si="60" ref="P221:P230">O221*2.54</f>
        <v>0</v>
      </c>
      <c r="Q221" s="116">
        <f aca="true" t="shared" si="61" ref="Q221:Q230">F221*P221</f>
        <v>0</v>
      </c>
      <c r="R221" s="149">
        <f aca="true" t="shared" si="62" ref="R221:R230">K221*P221</f>
        <v>0</v>
      </c>
      <c r="V221" s="116"/>
    </row>
    <row r="222" spans="1:22" s="8" customFormat="1" ht="16.5" customHeight="1">
      <c r="A222" s="11">
        <v>4</v>
      </c>
      <c r="B222" s="133" t="s">
        <v>421</v>
      </c>
      <c r="C222" s="398" t="s">
        <v>422</v>
      </c>
      <c r="D222" s="334">
        <v>1</v>
      </c>
      <c r="E222" s="230">
        <v>59.5</v>
      </c>
      <c r="F222" s="149">
        <f t="shared" si="53"/>
        <v>59.5</v>
      </c>
      <c r="G222" s="335">
        <v>48.9</v>
      </c>
      <c r="H222" s="149">
        <f t="shared" si="54"/>
        <v>124.206</v>
      </c>
      <c r="I222" s="116">
        <f t="shared" si="55"/>
        <v>7390.2570000000005</v>
      </c>
      <c r="J222" s="336">
        <v>0</v>
      </c>
      <c r="K222" s="116">
        <f t="shared" si="56"/>
        <v>0</v>
      </c>
      <c r="L222" s="337">
        <f t="shared" si="57"/>
        <v>48.9</v>
      </c>
      <c r="M222" s="149">
        <f t="shared" si="58"/>
        <v>124.206</v>
      </c>
      <c r="N222" s="116">
        <f t="shared" si="59"/>
        <v>0</v>
      </c>
      <c r="O222" s="338">
        <v>1</v>
      </c>
      <c r="P222" s="149">
        <f t="shared" si="60"/>
        <v>2.54</v>
      </c>
      <c r="Q222" s="116">
        <f t="shared" si="61"/>
        <v>151.13</v>
      </c>
      <c r="R222" s="149">
        <f t="shared" si="62"/>
        <v>0</v>
      </c>
      <c r="V222" s="116"/>
    </row>
    <row r="223" spans="1:22" s="8" customFormat="1" ht="16.5" customHeight="1">
      <c r="A223" s="11">
        <v>4</v>
      </c>
      <c r="B223" s="133" t="s">
        <v>423</v>
      </c>
      <c r="C223" s="398" t="s">
        <v>424</v>
      </c>
      <c r="D223" s="334">
        <v>1</v>
      </c>
      <c r="E223" s="230">
        <v>0.2</v>
      </c>
      <c r="F223" s="149">
        <f t="shared" si="53"/>
        <v>0.2</v>
      </c>
      <c r="G223" s="335">
        <v>48.9</v>
      </c>
      <c r="H223" s="149">
        <f t="shared" si="54"/>
        <v>124.206</v>
      </c>
      <c r="I223" s="116">
        <f t="shared" si="55"/>
        <v>24.8412</v>
      </c>
      <c r="J223" s="336">
        <v>0</v>
      </c>
      <c r="K223" s="116">
        <f t="shared" si="56"/>
        <v>0</v>
      </c>
      <c r="L223" s="337">
        <f t="shared" si="57"/>
        <v>48.9</v>
      </c>
      <c r="M223" s="149">
        <f t="shared" si="58"/>
        <v>124.206</v>
      </c>
      <c r="N223" s="116">
        <f t="shared" si="59"/>
        <v>0</v>
      </c>
      <c r="O223" s="338">
        <v>0</v>
      </c>
      <c r="P223" s="149">
        <f t="shared" si="60"/>
        <v>0</v>
      </c>
      <c r="Q223" s="116">
        <f t="shared" si="61"/>
        <v>0</v>
      </c>
      <c r="R223" s="149">
        <f t="shared" si="62"/>
        <v>0</v>
      </c>
      <c r="V223" s="116"/>
    </row>
    <row r="224" spans="1:22" s="8" customFormat="1" ht="16.5" customHeight="1">
      <c r="A224" s="11">
        <v>4</v>
      </c>
      <c r="B224" s="133" t="s">
        <v>425</v>
      </c>
      <c r="C224" s="398" t="s">
        <v>426</v>
      </c>
      <c r="D224" s="334">
        <v>1</v>
      </c>
      <c r="E224" s="230">
        <v>10.1</v>
      </c>
      <c r="F224" s="149">
        <f t="shared" si="53"/>
        <v>10.1</v>
      </c>
      <c r="G224" s="335">
        <v>48.9</v>
      </c>
      <c r="H224" s="149">
        <f t="shared" si="54"/>
        <v>124.206</v>
      </c>
      <c r="I224" s="116">
        <f t="shared" si="55"/>
        <v>1254.4806</v>
      </c>
      <c r="J224" s="336">
        <v>0</v>
      </c>
      <c r="K224" s="116">
        <f t="shared" si="56"/>
        <v>0</v>
      </c>
      <c r="L224" s="337">
        <f t="shared" si="57"/>
        <v>48.9</v>
      </c>
      <c r="M224" s="149">
        <f t="shared" si="58"/>
        <v>124.206</v>
      </c>
      <c r="N224" s="116">
        <f t="shared" si="59"/>
        <v>0</v>
      </c>
      <c r="O224" s="338">
        <v>-0.4</v>
      </c>
      <c r="P224" s="149">
        <f t="shared" si="60"/>
        <v>-1.016</v>
      </c>
      <c r="Q224" s="116">
        <f t="shared" si="61"/>
        <v>-10.2616</v>
      </c>
      <c r="R224" s="149">
        <f t="shared" si="62"/>
        <v>0</v>
      </c>
      <c r="V224" s="116"/>
    </row>
    <row r="225" spans="1:22" s="8" customFormat="1" ht="16.5" customHeight="1">
      <c r="A225" s="11">
        <v>4</v>
      </c>
      <c r="B225" s="133" t="s">
        <v>427</v>
      </c>
      <c r="C225" s="398" t="s">
        <v>428</v>
      </c>
      <c r="D225" s="334">
        <v>1</v>
      </c>
      <c r="E225" s="230">
        <v>3.1</v>
      </c>
      <c r="F225" s="149">
        <f t="shared" si="53"/>
        <v>3.1</v>
      </c>
      <c r="G225" s="335">
        <v>48.9</v>
      </c>
      <c r="H225" s="149">
        <f t="shared" si="54"/>
        <v>124.206</v>
      </c>
      <c r="I225" s="116">
        <f t="shared" si="55"/>
        <v>385.03860000000003</v>
      </c>
      <c r="J225" s="336">
        <v>0</v>
      </c>
      <c r="K225" s="116">
        <f t="shared" si="56"/>
        <v>0</v>
      </c>
      <c r="L225" s="337">
        <f t="shared" si="57"/>
        <v>48.9</v>
      </c>
      <c r="M225" s="149">
        <f t="shared" si="58"/>
        <v>124.206</v>
      </c>
      <c r="N225" s="116">
        <f t="shared" si="59"/>
        <v>0</v>
      </c>
      <c r="O225" s="338">
        <v>0</v>
      </c>
      <c r="P225" s="149">
        <f t="shared" si="60"/>
        <v>0</v>
      </c>
      <c r="Q225" s="116">
        <f t="shared" si="61"/>
        <v>0</v>
      </c>
      <c r="R225" s="149">
        <f t="shared" si="62"/>
        <v>0</v>
      </c>
      <c r="V225" s="116"/>
    </row>
    <row r="226" spans="1:22" s="8" customFormat="1" ht="17.25" customHeight="1">
      <c r="A226" s="11">
        <v>4</v>
      </c>
      <c r="B226" s="133" t="s">
        <v>429</v>
      </c>
      <c r="C226" s="398" t="s">
        <v>430</v>
      </c>
      <c r="D226" s="334">
        <v>1</v>
      </c>
      <c r="E226" s="230">
        <v>17.6</v>
      </c>
      <c r="F226" s="149">
        <f t="shared" si="53"/>
        <v>17.6</v>
      </c>
      <c r="G226" s="335">
        <v>48.9</v>
      </c>
      <c r="H226" s="149">
        <f t="shared" si="54"/>
        <v>124.206</v>
      </c>
      <c r="I226" s="116">
        <f t="shared" si="55"/>
        <v>2186.0256000000004</v>
      </c>
      <c r="J226" s="336">
        <v>0</v>
      </c>
      <c r="K226" s="116">
        <f t="shared" si="56"/>
        <v>0</v>
      </c>
      <c r="L226" s="337">
        <f t="shared" si="57"/>
        <v>48.9</v>
      </c>
      <c r="M226" s="149">
        <f t="shared" si="58"/>
        <v>124.206</v>
      </c>
      <c r="N226" s="116">
        <f t="shared" si="59"/>
        <v>0</v>
      </c>
      <c r="O226" s="338">
        <v>-0.4</v>
      </c>
      <c r="P226" s="149">
        <f t="shared" si="60"/>
        <v>-1.016</v>
      </c>
      <c r="Q226" s="116">
        <f t="shared" si="61"/>
        <v>-17.881600000000002</v>
      </c>
      <c r="R226" s="149">
        <f t="shared" si="62"/>
        <v>0</v>
      </c>
      <c r="V226" s="116"/>
    </row>
    <row r="227" spans="1:22" s="8" customFormat="1" ht="25.5" customHeight="1">
      <c r="A227" s="11">
        <v>4</v>
      </c>
      <c r="B227" s="133" t="s">
        <v>431</v>
      </c>
      <c r="C227" s="407" t="s">
        <v>432</v>
      </c>
      <c r="D227" s="334">
        <v>1</v>
      </c>
      <c r="E227" s="230">
        <v>224.5</v>
      </c>
      <c r="F227" s="149">
        <f t="shared" si="53"/>
        <v>224.5</v>
      </c>
      <c r="G227" s="335">
        <v>48.9</v>
      </c>
      <c r="H227" s="149">
        <f t="shared" si="54"/>
        <v>124.206</v>
      </c>
      <c r="I227" s="116">
        <f t="shared" si="55"/>
        <v>27884.247</v>
      </c>
      <c r="J227" s="336">
        <v>0</v>
      </c>
      <c r="K227" s="116">
        <f t="shared" si="56"/>
        <v>0</v>
      </c>
      <c r="L227" s="337">
        <f t="shared" si="57"/>
        <v>48.9</v>
      </c>
      <c r="M227" s="149">
        <f t="shared" si="58"/>
        <v>124.206</v>
      </c>
      <c r="N227" s="116">
        <f t="shared" si="59"/>
        <v>0</v>
      </c>
      <c r="O227" s="338">
        <v>-0.8</v>
      </c>
      <c r="P227" s="149">
        <f t="shared" si="60"/>
        <v>-2.032</v>
      </c>
      <c r="Q227" s="116">
        <f t="shared" si="61"/>
        <v>-456.184</v>
      </c>
      <c r="R227" s="149">
        <f t="shared" si="62"/>
        <v>0</v>
      </c>
      <c r="V227" s="116"/>
    </row>
    <row r="228" spans="1:22" s="8" customFormat="1" ht="16.5" customHeight="1">
      <c r="A228" s="11">
        <v>4</v>
      </c>
      <c r="B228" s="133" t="s">
        <v>433</v>
      </c>
      <c r="C228" s="398" t="s">
        <v>434</v>
      </c>
      <c r="D228" s="334">
        <v>1</v>
      </c>
      <c r="E228" s="230">
        <v>2</v>
      </c>
      <c r="F228" s="149">
        <f t="shared" si="53"/>
        <v>2</v>
      </c>
      <c r="G228" s="335">
        <v>48.9</v>
      </c>
      <c r="H228" s="149">
        <f t="shared" si="54"/>
        <v>124.206</v>
      </c>
      <c r="I228" s="116">
        <f t="shared" si="55"/>
        <v>248.412</v>
      </c>
      <c r="J228" s="336">
        <v>0</v>
      </c>
      <c r="K228" s="116">
        <f t="shared" si="56"/>
        <v>0</v>
      </c>
      <c r="L228" s="337">
        <f t="shared" si="57"/>
        <v>48.9</v>
      </c>
      <c r="M228" s="149">
        <f t="shared" si="58"/>
        <v>124.206</v>
      </c>
      <c r="N228" s="116">
        <f t="shared" si="59"/>
        <v>0</v>
      </c>
      <c r="O228" s="338">
        <v>-0.5</v>
      </c>
      <c r="P228" s="149">
        <f t="shared" si="60"/>
        <v>-1.27</v>
      </c>
      <c r="Q228" s="116">
        <f t="shared" si="61"/>
        <v>-2.54</v>
      </c>
      <c r="R228" s="149">
        <f t="shared" si="62"/>
        <v>0</v>
      </c>
      <c r="V228" s="116"/>
    </row>
    <row r="229" spans="1:22" s="8" customFormat="1" ht="16.5" customHeight="1">
      <c r="A229" s="11">
        <v>4</v>
      </c>
      <c r="B229" s="133" t="s">
        <v>435</v>
      </c>
      <c r="C229" s="398" t="s">
        <v>436</v>
      </c>
      <c r="D229" s="334">
        <v>1</v>
      </c>
      <c r="E229" s="230">
        <v>25.1</v>
      </c>
      <c r="F229" s="149">
        <f t="shared" si="53"/>
        <v>25.1</v>
      </c>
      <c r="G229" s="335">
        <v>48.9</v>
      </c>
      <c r="H229" s="149">
        <f t="shared" si="54"/>
        <v>124.206</v>
      </c>
      <c r="I229" s="116">
        <f t="shared" si="55"/>
        <v>3117.5706000000005</v>
      </c>
      <c r="J229" s="336">
        <v>0</v>
      </c>
      <c r="K229" s="116">
        <f t="shared" si="56"/>
        <v>0</v>
      </c>
      <c r="L229" s="337">
        <f t="shared" si="57"/>
        <v>48.9</v>
      </c>
      <c r="M229" s="149">
        <f t="shared" si="58"/>
        <v>124.206</v>
      </c>
      <c r="N229" s="116">
        <f t="shared" si="59"/>
        <v>0</v>
      </c>
      <c r="O229" s="338">
        <v>-0.9</v>
      </c>
      <c r="P229" s="149">
        <f t="shared" si="60"/>
        <v>-2.286</v>
      </c>
      <c r="Q229" s="116">
        <f t="shared" si="61"/>
        <v>-57.378600000000006</v>
      </c>
      <c r="R229" s="149">
        <f t="shared" si="62"/>
        <v>0</v>
      </c>
      <c r="V229" s="116"/>
    </row>
    <row r="230" spans="1:22" s="8" customFormat="1" ht="16.5" customHeight="1">
      <c r="A230" s="11">
        <v>4</v>
      </c>
      <c r="B230" s="133" t="s">
        <v>437</v>
      </c>
      <c r="C230" s="398" t="s">
        <v>438</v>
      </c>
      <c r="D230" s="334">
        <v>1</v>
      </c>
      <c r="E230" s="230">
        <v>20</v>
      </c>
      <c r="F230" s="149">
        <f t="shared" si="53"/>
        <v>20</v>
      </c>
      <c r="G230" s="335">
        <v>47</v>
      </c>
      <c r="H230" s="149">
        <f t="shared" si="54"/>
        <v>119.38</v>
      </c>
      <c r="I230" s="402">
        <f t="shared" si="55"/>
        <v>2387.6</v>
      </c>
      <c r="J230" s="288">
        <v>0</v>
      </c>
      <c r="K230" s="116">
        <f t="shared" si="56"/>
        <v>0</v>
      </c>
      <c r="L230" s="337">
        <f t="shared" si="57"/>
        <v>47</v>
      </c>
      <c r="M230" s="149">
        <f t="shared" si="58"/>
        <v>119.38</v>
      </c>
      <c r="N230" s="116"/>
      <c r="O230" s="338">
        <v>0</v>
      </c>
      <c r="P230" s="149">
        <f t="shared" si="60"/>
        <v>0</v>
      </c>
      <c r="Q230" s="116">
        <f t="shared" si="61"/>
        <v>0</v>
      </c>
      <c r="R230" s="149">
        <f t="shared" si="62"/>
        <v>0</v>
      </c>
      <c r="V230" s="116"/>
    </row>
    <row r="231" spans="1:22" s="8" customFormat="1" ht="16.5" customHeight="1">
      <c r="A231" s="11"/>
      <c r="B231" s="408"/>
      <c r="C231" s="11"/>
      <c r="D231" s="334"/>
      <c r="E231" s="230"/>
      <c r="F231" s="149"/>
      <c r="G231" s="335"/>
      <c r="H231" s="149"/>
      <c r="I231" s="116"/>
      <c r="J231" s="336"/>
      <c r="K231" s="116"/>
      <c r="L231" s="337"/>
      <c r="M231" s="149"/>
      <c r="N231" s="116"/>
      <c r="O231" s="338"/>
      <c r="P231" s="149"/>
      <c r="Q231" s="116"/>
      <c r="R231" s="149"/>
      <c r="V231" s="116"/>
    </row>
    <row r="232" spans="1:22" s="8" customFormat="1" ht="16.5" customHeight="1">
      <c r="A232" s="11">
        <v>3</v>
      </c>
      <c r="B232" s="397" t="s">
        <v>439</v>
      </c>
      <c r="C232" s="409">
        <v>52346</v>
      </c>
      <c r="D232" s="220"/>
      <c r="E232" s="230"/>
      <c r="F232" s="149"/>
      <c r="G232" s="335"/>
      <c r="H232" s="149"/>
      <c r="I232" s="116"/>
      <c r="J232" s="336"/>
      <c r="K232" s="116"/>
      <c r="L232" s="337"/>
      <c r="M232" s="149"/>
      <c r="N232" s="116"/>
      <c r="O232" s="338"/>
      <c r="P232" s="149"/>
      <c r="Q232" s="116"/>
      <c r="R232" s="149"/>
      <c r="V232" s="116"/>
    </row>
    <row r="233" spans="1:22" s="8" customFormat="1" ht="16.5" customHeight="1">
      <c r="A233" s="11"/>
      <c r="B233" s="6" t="s">
        <v>595</v>
      </c>
      <c r="C233" s="149">
        <f>(SUM(F236:F253))-F237+E237</f>
        <v>1137.8</v>
      </c>
      <c r="D233" s="220" t="s">
        <v>648</v>
      </c>
      <c r="E233" s="355" t="s">
        <v>656</v>
      </c>
      <c r="F233" s="149"/>
      <c r="G233" s="335"/>
      <c r="H233" s="149"/>
      <c r="I233" s="116"/>
      <c r="J233" s="336"/>
      <c r="K233" s="116"/>
      <c r="L233" s="337"/>
      <c r="M233" s="149"/>
      <c r="N233" s="116"/>
      <c r="O233" s="338"/>
      <c r="P233" s="149"/>
      <c r="Q233" s="116"/>
      <c r="R233" s="149"/>
      <c r="V233" s="116"/>
    </row>
    <row r="234" spans="1:22" s="8" customFormat="1" ht="16.5" customHeight="1">
      <c r="A234" s="11"/>
      <c r="B234" s="6" t="s">
        <v>584</v>
      </c>
      <c r="C234" s="230">
        <v>1137.8</v>
      </c>
      <c r="D234" s="220" t="s">
        <v>648</v>
      </c>
      <c r="E234" s="366">
        <f>C234-C233</f>
        <v>0</v>
      </c>
      <c r="F234" s="149"/>
      <c r="G234" s="335"/>
      <c r="H234" s="149"/>
      <c r="I234" s="116"/>
      <c r="J234" s="336"/>
      <c r="K234" s="116"/>
      <c r="L234" s="337"/>
      <c r="M234" s="149"/>
      <c r="N234" s="116"/>
      <c r="O234" s="338"/>
      <c r="P234" s="149"/>
      <c r="Q234" s="116"/>
      <c r="R234" s="149"/>
      <c r="V234" s="116"/>
    </row>
    <row r="235" ht="12.75"/>
    <row r="236" spans="1:22" s="8" customFormat="1" ht="16.5" customHeight="1">
      <c r="A236" s="11">
        <v>4</v>
      </c>
      <c r="B236" s="133" t="s">
        <v>440</v>
      </c>
      <c r="C236" s="398">
        <v>49811</v>
      </c>
      <c r="D236" s="334">
        <v>1</v>
      </c>
      <c r="E236" s="230">
        <v>134.2</v>
      </c>
      <c r="F236" s="149">
        <f>E236*D236</f>
        <v>134.2</v>
      </c>
      <c r="G236" s="335">
        <v>45</v>
      </c>
      <c r="H236" s="149">
        <f aca="true" t="shared" si="63" ref="H236:H253">G236*2.54</f>
        <v>114.3</v>
      </c>
      <c r="I236" s="116">
        <f aca="true" t="shared" si="64" ref="I236:I253">F236*H236</f>
        <v>15339.059999999998</v>
      </c>
      <c r="J236" s="336">
        <v>0</v>
      </c>
      <c r="K236" s="116">
        <f aca="true" t="shared" si="65" ref="K236:K253">J236*D236</f>
        <v>0</v>
      </c>
      <c r="L236" s="337">
        <f aca="true" t="shared" si="66" ref="L236:L253">G236</f>
        <v>45</v>
      </c>
      <c r="M236" s="149">
        <f aca="true" t="shared" si="67" ref="M236:M253">L236*2.54</f>
        <v>114.3</v>
      </c>
      <c r="N236" s="116">
        <f aca="true" t="shared" si="68" ref="N236:N253">K236*M236</f>
        <v>0</v>
      </c>
      <c r="O236" s="338">
        <v>0</v>
      </c>
      <c r="P236" s="149">
        <f aca="true" t="shared" si="69" ref="P236:P253">O236*2.54</f>
        <v>0</v>
      </c>
      <c r="Q236" s="116">
        <f aca="true" t="shared" si="70" ref="Q236:Q253">F236*P236</f>
        <v>0</v>
      </c>
      <c r="R236" s="149">
        <f aca="true" t="shared" si="71" ref="R236:R253">K236*P236</f>
        <v>0</v>
      </c>
      <c r="V236" s="116"/>
    </row>
    <row r="237" spans="1:22" s="8" customFormat="1" ht="16.5" customHeight="1">
      <c r="A237" s="11">
        <v>4</v>
      </c>
      <c r="B237" s="133" t="s">
        <v>441</v>
      </c>
      <c r="C237" s="398" t="s">
        <v>442</v>
      </c>
      <c r="D237" s="334">
        <v>1</v>
      </c>
      <c r="E237" s="230">
        <v>97.7</v>
      </c>
      <c r="F237" s="403">
        <f>E237*D237+(C20*Cal!D44*Oil_density)</f>
        <v>571.4836168032656</v>
      </c>
      <c r="G237" s="335">
        <f>45+0.5*1.8*C20</f>
        <v>45.6093</v>
      </c>
      <c r="H237" s="149">
        <f t="shared" si="63"/>
        <v>115.847622</v>
      </c>
      <c r="I237" s="116">
        <f t="shared" si="64"/>
        <v>66205.01801861756</v>
      </c>
      <c r="J237" s="336">
        <v>0</v>
      </c>
      <c r="K237" s="116">
        <f t="shared" si="65"/>
        <v>0</v>
      </c>
      <c r="L237" s="337">
        <f t="shared" si="66"/>
        <v>45.6093</v>
      </c>
      <c r="M237" s="149">
        <f t="shared" si="67"/>
        <v>115.847622</v>
      </c>
      <c r="N237" s="116">
        <f t="shared" si="68"/>
        <v>0</v>
      </c>
      <c r="O237" s="338">
        <v>0</v>
      </c>
      <c r="P237" s="149">
        <f t="shared" si="69"/>
        <v>0</v>
      </c>
      <c r="Q237" s="116">
        <f t="shared" si="70"/>
        <v>0</v>
      </c>
      <c r="R237" s="149">
        <f t="shared" si="71"/>
        <v>0</v>
      </c>
      <c r="V237" s="116"/>
    </row>
    <row r="238" spans="1:22" s="8" customFormat="1" ht="16.5" customHeight="1">
      <c r="A238" s="11">
        <v>4</v>
      </c>
      <c r="B238" s="133" t="s">
        <v>443</v>
      </c>
      <c r="C238" s="398" t="s">
        <v>444</v>
      </c>
      <c r="D238" s="334">
        <v>1</v>
      </c>
      <c r="E238" s="230">
        <v>11.3</v>
      </c>
      <c r="F238" s="149">
        <f aca="true" t="shared" si="72" ref="F238:F253">E238*D238</f>
        <v>11.3</v>
      </c>
      <c r="G238" s="335">
        <v>45</v>
      </c>
      <c r="H238" s="149">
        <f t="shared" si="63"/>
        <v>114.3</v>
      </c>
      <c r="I238" s="116">
        <f t="shared" si="64"/>
        <v>1291.5900000000001</v>
      </c>
      <c r="J238" s="336">
        <v>0</v>
      </c>
      <c r="K238" s="116">
        <f t="shared" si="65"/>
        <v>0</v>
      </c>
      <c r="L238" s="337">
        <f t="shared" si="66"/>
        <v>45</v>
      </c>
      <c r="M238" s="149">
        <f t="shared" si="67"/>
        <v>114.3</v>
      </c>
      <c r="N238" s="116">
        <f t="shared" si="68"/>
        <v>0</v>
      </c>
      <c r="O238" s="338">
        <v>0</v>
      </c>
      <c r="P238" s="149">
        <f t="shared" si="69"/>
        <v>0</v>
      </c>
      <c r="Q238" s="116">
        <f t="shared" si="70"/>
        <v>0</v>
      </c>
      <c r="R238" s="149">
        <f t="shared" si="71"/>
        <v>0</v>
      </c>
      <c r="V238" s="116"/>
    </row>
    <row r="239" spans="1:22" s="8" customFormat="1" ht="16.5" customHeight="1">
      <c r="A239" s="11">
        <v>4</v>
      </c>
      <c r="B239" s="133" t="s">
        <v>445</v>
      </c>
      <c r="C239" s="398">
        <v>49813</v>
      </c>
      <c r="D239" s="334">
        <v>1</v>
      </c>
      <c r="E239" s="230">
        <v>330.6</v>
      </c>
      <c r="F239" s="149">
        <f t="shared" si="72"/>
        <v>330.6</v>
      </c>
      <c r="G239" s="335">
        <v>43.9</v>
      </c>
      <c r="H239" s="149">
        <f t="shared" si="63"/>
        <v>111.506</v>
      </c>
      <c r="I239" s="116">
        <f t="shared" si="64"/>
        <v>36863.8836</v>
      </c>
      <c r="J239" s="336">
        <v>0</v>
      </c>
      <c r="K239" s="116">
        <f t="shared" si="65"/>
        <v>0</v>
      </c>
      <c r="L239" s="337">
        <f t="shared" si="66"/>
        <v>43.9</v>
      </c>
      <c r="M239" s="149">
        <f t="shared" si="67"/>
        <v>111.506</v>
      </c>
      <c r="N239" s="116">
        <f t="shared" si="68"/>
        <v>0</v>
      </c>
      <c r="O239" s="338">
        <v>0</v>
      </c>
      <c r="P239" s="149">
        <f t="shared" si="69"/>
        <v>0</v>
      </c>
      <c r="Q239" s="116">
        <f t="shared" si="70"/>
        <v>0</v>
      </c>
      <c r="R239" s="149">
        <f t="shared" si="71"/>
        <v>0</v>
      </c>
      <c r="V239" s="116"/>
    </row>
    <row r="240" spans="1:22" s="8" customFormat="1" ht="33.75" customHeight="1">
      <c r="A240" s="11">
        <v>4</v>
      </c>
      <c r="B240" s="400" t="s">
        <v>446</v>
      </c>
      <c r="C240" s="398" t="s">
        <v>447</v>
      </c>
      <c r="D240" s="334">
        <v>1</v>
      </c>
      <c r="E240" s="230">
        <v>24</v>
      </c>
      <c r="F240" s="149">
        <f t="shared" si="72"/>
        <v>24</v>
      </c>
      <c r="G240" s="335">
        <v>43.24</v>
      </c>
      <c r="H240" s="149">
        <f t="shared" si="63"/>
        <v>109.82960000000001</v>
      </c>
      <c r="I240" s="116">
        <f t="shared" si="64"/>
        <v>2635.9104</v>
      </c>
      <c r="J240" s="336">
        <v>0</v>
      </c>
      <c r="K240" s="116">
        <f t="shared" si="65"/>
        <v>0</v>
      </c>
      <c r="L240" s="337">
        <f t="shared" si="66"/>
        <v>43.24</v>
      </c>
      <c r="M240" s="149">
        <f t="shared" si="67"/>
        <v>109.82960000000001</v>
      </c>
      <c r="N240" s="116">
        <f t="shared" si="68"/>
        <v>0</v>
      </c>
      <c r="O240" s="338">
        <v>-2.39</v>
      </c>
      <c r="P240" s="149">
        <f t="shared" si="69"/>
        <v>-6.070600000000001</v>
      </c>
      <c r="Q240" s="116">
        <f t="shared" si="70"/>
        <v>-145.69440000000003</v>
      </c>
      <c r="R240" s="149">
        <f t="shared" si="71"/>
        <v>0</v>
      </c>
      <c r="V240" s="116"/>
    </row>
    <row r="241" spans="1:22" s="8" customFormat="1" ht="16.5" customHeight="1">
      <c r="A241" s="11">
        <v>4</v>
      </c>
      <c r="B241" s="133" t="s">
        <v>321</v>
      </c>
      <c r="C241" s="398" t="s">
        <v>322</v>
      </c>
      <c r="D241" s="334">
        <v>1</v>
      </c>
      <c r="E241" s="230">
        <v>26.6</v>
      </c>
      <c r="F241" s="149">
        <f t="shared" si="72"/>
        <v>26.6</v>
      </c>
      <c r="G241" s="335">
        <v>43.24</v>
      </c>
      <c r="H241" s="149">
        <f t="shared" si="63"/>
        <v>109.82960000000001</v>
      </c>
      <c r="I241" s="116">
        <f t="shared" si="64"/>
        <v>2921.4673600000006</v>
      </c>
      <c r="J241" s="336">
        <v>0</v>
      </c>
      <c r="K241" s="116">
        <f t="shared" si="65"/>
        <v>0</v>
      </c>
      <c r="L241" s="337">
        <f t="shared" si="66"/>
        <v>43.24</v>
      </c>
      <c r="M241" s="149">
        <f t="shared" si="67"/>
        <v>109.82960000000001</v>
      </c>
      <c r="N241" s="116">
        <f t="shared" si="68"/>
        <v>0</v>
      </c>
      <c r="O241" s="338">
        <v>2.39</v>
      </c>
      <c r="P241" s="149">
        <f t="shared" si="69"/>
        <v>6.070600000000001</v>
      </c>
      <c r="Q241" s="116">
        <f t="shared" si="70"/>
        <v>161.47796000000002</v>
      </c>
      <c r="R241" s="149">
        <f t="shared" si="71"/>
        <v>0</v>
      </c>
      <c r="V241" s="116"/>
    </row>
    <row r="242" spans="1:22" s="8" customFormat="1" ht="16.5" customHeight="1">
      <c r="A242" s="11">
        <v>4</v>
      </c>
      <c r="B242" s="133" t="s">
        <v>323</v>
      </c>
      <c r="C242" s="398" t="s">
        <v>324</v>
      </c>
      <c r="D242" s="334">
        <v>1</v>
      </c>
      <c r="E242" s="230">
        <v>25.8</v>
      </c>
      <c r="F242" s="149">
        <f t="shared" si="72"/>
        <v>25.8</v>
      </c>
      <c r="G242" s="335">
        <v>43.24</v>
      </c>
      <c r="H242" s="149">
        <f t="shared" si="63"/>
        <v>109.82960000000001</v>
      </c>
      <c r="I242" s="116">
        <f t="shared" si="64"/>
        <v>2833.6036800000006</v>
      </c>
      <c r="J242" s="336">
        <v>0</v>
      </c>
      <c r="K242" s="116">
        <f t="shared" si="65"/>
        <v>0</v>
      </c>
      <c r="L242" s="337">
        <f t="shared" si="66"/>
        <v>43.24</v>
      </c>
      <c r="M242" s="149">
        <f t="shared" si="67"/>
        <v>109.82960000000001</v>
      </c>
      <c r="N242" s="116">
        <f t="shared" si="68"/>
        <v>0</v>
      </c>
      <c r="O242" s="338">
        <v>0.8</v>
      </c>
      <c r="P242" s="149">
        <f t="shared" si="69"/>
        <v>2.032</v>
      </c>
      <c r="Q242" s="116">
        <f t="shared" si="70"/>
        <v>52.4256</v>
      </c>
      <c r="R242" s="149">
        <f t="shared" si="71"/>
        <v>0</v>
      </c>
      <c r="V242" s="116"/>
    </row>
    <row r="243" spans="1:22" s="8" customFormat="1" ht="16.5" customHeight="1">
      <c r="A243" s="11">
        <v>4</v>
      </c>
      <c r="B243" s="133" t="s">
        <v>325</v>
      </c>
      <c r="C243" s="398" t="s">
        <v>326</v>
      </c>
      <c r="D243" s="334">
        <v>1</v>
      </c>
      <c r="E243" s="230">
        <v>10.8</v>
      </c>
      <c r="F243" s="149">
        <f t="shared" si="72"/>
        <v>10.8</v>
      </c>
      <c r="G243" s="335">
        <v>43.24</v>
      </c>
      <c r="H243" s="149">
        <f t="shared" si="63"/>
        <v>109.82960000000001</v>
      </c>
      <c r="I243" s="116">
        <f t="shared" si="64"/>
        <v>1186.1596800000002</v>
      </c>
      <c r="J243" s="336">
        <v>0</v>
      </c>
      <c r="K243" s="116">
        <f t="shared" si="65"/>
        <v>0</v>
      </c>
      <c r="L243" s="337">
        <f t="shared" si="66"/>
        <v>43.24</v>
      </c>
      <c r="M243" s="149">
        <f t="shared" si="67"/>
        <v>109.82960000000001</v>
      </c>
      <c r="N243" s="116">
        <f t="shared" si="68"/>
        <v>0</v>
      </c>
      <c r="O243" s="338">
        <v>-0.1</v>
      </c>
      <c r="P243" s="149">
        <f t="shared" si="69"/>
        <v>-0.254</v>
      </c>
      <c r="Q243" s="116">
        <f t="shared" si="70"/>
        <v>-2.7432000000000003</v>
      </c>
      <c r="R243" s="149">
        <f t="shared" si="71"/>
        <v>0</v>
      </c>
      <c r="V243" s="116"/>
    </row>
    <row r="244" spans="1:22" s="8" customFormat="1" ht="16.5" customHeight="1">
      <c r="A244" s="11">
        <v>4</v>
      </c>
      <c r="B244" s="133" t="s">
        <v>327</v>
      </c>
      <c r="C244" s="398" t="s">
        <v>328</v>
      </c>
      <c r="D244" s="334">
        <v>1</v>
      </c>
      <c r="E244" s="230">
        <v>1.8</v>
      </c>
      <c r="F244" s="149">
        <f t="shared" si="72"/>
        <v>1.8</v>
      </c>
      <c r="G244" s="335">
        <v>43.24</v>
      </c>
      <c r="H244" s="149">
        <f t="shared" si="63"/>
        <v>109.82960000000001</v>
      </c>
      <c r="I244" s="116">
        <f t="shared" si="64"/>
        <v>197.69328000000002</v>
      </c>
      <c r="J244" s="336">
        <v>0</v>
      </c>
      <c r="K244" s="116">
        <f t="shared" si="65"/>
        <v>0</v>
      </c>
      <c r="L244" s="337">
        <f t="shared" si="66"/>
        <v>43.24</v>
      </c>
      <c r="M244" s="149">
        <f t="shared" si="67"/>
        <v>109.82960000000001</v>
      </c>
      <c r="N244" s="116">
        <f t="shared" si="68"/>
        <v>0</v>
      </c>
      <c r="O244" s="338">
        <v>3</v>
      </c>
      <c r="P244" s="149">
        <f t="shared" si="69"/>
        <v>7.62</v>
      </c>
      <c r="Q244" s="116">
        <f t="shared" si="70"/>
        <v>13.716000000000001</v>
      </c>
      <c r="R244" s="149">
        <f t="shared" si="71"/>
        <v>0</v>
      </c>
      <c r="V244" s="116"/>
    </row>
    <row r="245" spans="1:22" s="8" customFormat="1" ht="16.5" customHeight="1">
      <c r="A245" s="11">
        <v>4</v>
      </c>
      <c r="B245" s="133" t="s">
        <v>329</v>
      </c>
      <c r="C245" s="398">
        <v>49812</v>
      </c>
      <c r="D245" s="334">
        <v>1</v>
      </c>
      <c r="E245" s="230">
        <v>413.7</v>
      </c>
      <c r="F245" s="149">
        <f t="shared" si="72"/>
        <v>413.7</v>
      </c>
      <c r="G245" s="335">
        <v>45.3</v>
      </c>
      <c r="H245" s="149">
        <f t="shared" si="63"/>
        <v>115.062</v>
      </c>
      <c r="I245" s="116">
        <f t="shared" si="64"/>
        <v>47601.149399999995</v>
      </c>
      <c r="J245" s="336">
        <v>0</v>
      </c>
      <c r="K245" s="116">
        <f t="shared" si="65"/>
        <v>0</v>
      </c>
      <c r="L245" s="337">
        <f t="shared" si="66"/>
        <v>45.3</v>
      </c>
      <c r="M245" s="149">
        <f t="shared" si="67"/>
        <v>115.062</v>
      </c>
      <c r="N245" s="116">
        <f t="shared" si="68"/>
        <v>0</v>
      </c>
      <c r="O245" s="338">
        <v>0</v>
      </c>
      <c r="P245" s="149">
        <f t="shared" si="69"/>
        <v>0</v>
      </c>
      <c r="Q245" s="116">
        <f t="shared" si="70"/>
        <v>0</v>
      </c>
      <c r="R245" s="149">
        <f t="shared" si="71"/>
        <v>0</v>
      </c>
      <c r="V245" s="116"/>
    </row>
    <row r="246" spans="1:22" s="8" customFormat="1" ht="16.5" customHeight="1">
      <c r="A246" s="11">
        <v>4</v>
      </c>
      <c r="B246" s="133" t="s">
        <v>330</v>
      </c>
      <c r="C246" s="398" t="s">
        <v>331</v>
      </c>
      <c r="D246" s="334">
        <v>1</v>
      </c>
      <c r="E246" s="230">
        <v>7.5</v>
      </c>
      <c r="F246" s="149">
        <f t="shared" si="72"/>
        <v>7.5</v>
      </c>
      <c r="G246" s="335">
        <v>43.56</v>
      </c>
      <c r="H246" s="149">
        <f t="shared" si="63"/>
        <v>110.64240000000001</v>
      </c>
      <c r="I246" s="116">
        <f t="shared" si="64"/>
        <v>829.8180000000001</v>
      </c>
      <c r="J246" s="336">
        <v>0</v>
      </c>
      <c r="K246" s="116">
        <f t="shared" si="65"/>
        <v>0</v>
      </c>
      <c r="L246" s="337">
        <f t="shared" si="66"/>
        <v>43.56</v>
      </c>
      <c r="M246" s="149">
        <f t="shared" si="67"/>
        <v>110.64240000000001</v>
      </c>
      <c r="N246" s="116">
        <f t="shared" si="68"/>
        <v>0</v>
      </c>
      <c r="O246" s="338">
        <v>0</v>
      </c>
      <c r="P246" s="149">
        <f t="shared" si="69"/>
        <v>0</v>
      </c>
      <c r="Q246" s="116">
        <f t="shared" si="70"/>
        <v>0</v>
      </c>
      <c r="R246" s="149">
        <f t="shared" si="71"/>
        <v>0</v>
      </c>
      <c r="V246" s="116"/>
    </row>
    <row r="247" spans="1:22" s="8" customFormat="1" ht="16.5" customHeight="1">
      <c r="A247" s="11">
        <v>4</v>
      </c>
      <c r="B247" s="133" t="s">
        <v>455</v>
      </c>
      <c r="C247" s="398" t="s">
        <v>456</v>
      </c>
      <c r="D247" s="334">
        <v>1</v>
      </c>
      <c r="E247" s="230">
        <v>12.5</v>
      </c>
      <c r="F247" s="149">
        <f t="shared" si="72"/>
        <v>12.5</v>
      </c>
      <c r="G247" s="335">
        <v>47.75</v>
      </c>
      <c r="H247" s="149">
        <f t="shared" si="63"/>
        <v>121.285</v>
      </c>
      <c r="I247" s="116">
        <f t="shared" si="64"/>
        <v>1516.0625</v>
      </c>
      <c r="J247" s="336">
        <v>0</v>
      </c>
      <c r="K247" s="116">
        <f t="shared" si="65"/>
        <v>0</v>
      </c>
      <c r="L247" s="337">
        <f t="shared" si="66"/>
        <v>47.75</v>
      </c>
      <c r="M247" s="149">
        <f t="shared" si="67"/>
        <v>121.285</v>
      </c>
      <c r="N247" s="116">
        <f t="shared" si="68"/>
        <v>0</v>
      </c>
      <c r="O247" s="338">
        <v>2.6</v>
      </c>
      <c r="P247" s="149">
        <f t="shared" si="69"/>
        <v>6.604</v>
      </c>
      <c r="Q247" s="116">
        <f t="shared" si="70"/>
        <v>82.55</v>
      </c>
      <c r="R247" s="149">
        <f t="shared" si="71"/>
        <v>0</v>
      </c>
      <c r="V247" s="116"/>
    </row>
    <row r="248" spans="1:22" s="8" customFormat="1" ht="16.5" customHeight="1">
      <c r="A248" s="11">
        <v>4</v>
      </c>
      <c r="B248" s="133" t="s">
        <v>457</v>
      </c>
      <c r="C248" s="398" t="s">
        <v>456</v>
      </c>
      <c r="D248" s="334">
        <v>1</v>
      </c>
      <c r="E248" s="230">
        <v>12.5</v>
      </c>
      <c r="F248" s="149">
        <f t="shared" si="72"/>
        <v>12.5</v>
      </c>
      <c r="G248" s="335">
        <v>47.75</v>
      </c>
      <c r="H248" s="149">
        <f t="shared" si="63"/>
        <v>121.285</v>
      </c>
      <c r="I248" s="116">
        <f t="shared" si="64"/>
        <v>1516.0625</v>
      </c>
      <c r="J248" s="336">
        <v>0</v>
      </c>
      <c r="K248" s="116">
        <f t="shared" si="65"/>
        <v>0</v>
      </c>
      <c r="L248" s="337">
        <f t="shared" si="66"/>
        <v>47.75</v>
      </c>
      <c r="M248" s="149">
        <f t="shared" si="67"/>
        <v>121.285</v>
      </c>
      <c r="N248" s="116">
        <f t="shared" si="68"/>
        <v>0</v>
      </c>
      <c r="O248" s="338">
        <v>-2.6</v>
      </c>
      <c r="P248" s="149">
        <f t="shared" si="69"/>
        <v>-6.604</v>
      </c>
      <c r="Q248" s="116">
        <f t="shared" si="70"/>
        <v>-82.55</v>
      </c>
      <c r="R248" s="149">
        <f t="shared" si="71"/>
        <v>0</v>
      </c>
      <c r="V248" s="116"/>
    </row>
    <row r="249" spans="1:22" s="8" customFormat="1" ht="16.5" customHeight="1">
      <c r="A249" s="11">
        <v>4</v>
      </c>
      <c r="B249" s="133" t="s">
        <v>458</v>
      </c>
      <c r="C249" s="398" t="s">
        <v>459</v>
      </c>
      <c r="D249" s="334">
        <v>1</v>
      </c>
      <c r="E249" s="230">
        <v>4.5</v>
      </c>
      <c r="F249" s="149">
        <f t="shared" si="72"/>
        <v>4.5</v>
      </c>
      <c r="G249" s="335">
        <v>47.5</v>
      </c>
      <c r="H249" s="149">
        <f t="shared" si="63"/>
        <v>120.65</v>
      </c>
      <c r="I249" s="116">
        <f t="shared" si="64"/>
        <v>542.9250000000001</v>
      </c>
      <c r="J249" s="336">
        <v>0</v>
      </c>
      <c r="K249" s="116">
        <f t="shared" si="65"/>
        <v>0</v>
      </c>
      <c r="L249" s="337">
        <f t="shared" si="66"/>
        <v>47.5</v>
      </c>
      <c r="M249" s="149">
        <f t="shared" si="67"/>
        <v>120.65</v>
      </c>
      <c r="N249" s="116">
        <f t="shared" si="68"/>
        <v>0</v>
      </c>
      <c r="O249" s="338">
        <v>0</v>
      </c>
      <c r="P249" s="149">
        <f t="shared" si="69"/>
        <v>0</v>
      </c>
      <c r="Q249" s="116">
        <f t="shared" si="70"/>
        <v>0</v>
      </c>
      <c r="R249" s="149">
        <f t="shared" si="71"/>
        <v>0</v>
      </c>
      <c r="V249" s="116"/>
    </row>
    <row r="250" spans="1:22" s="8" customFormat="1" ht="16.5" customHeight="1">
      <c r="A250" s="11">
        <v>4</v>
      </c>
      <c r="B250" s="133" t="s">
        <v>460</v>
      </c>
      <c r="C250" s="11" t="s">
        <v>461</v>
      </c>
      <c r="D250" s="334">
        <v>1</v>
      </c>
      <c r="E250" s="230">
        <v>5.1</v>
      </c>
      <c r="F250" s="149">
        <f t="shared" si="72"/>
        <v>5.1</v>
      </c>
      <c r="G250" s="335">
        <v>45.5</v>
      </c>
      <c r="H250" s="149">
        <f t="shared" si="63"/>
        <v>115.57000000000001</v>
      </c>
      <c r="I250" s="116">
        <f t="shared" si="64"/>
        <v>589.407</v>
      </c>
      <c r="J250" s="336">
        <v>0</v>
      </c>
      <c r="K250" s="116">
        <f t="shared" si="65"/>
        <v>0</v>
      </c>
      <c r="L250" s="337">
        <f t="shared" si="66"/>
        <v>45.5</v>
      </c>
      <c r="M250" s="149">
        <f t="shared" si="67"/>
        <v>115.57000000000001</v>
      </c>
      <c r="N250" s="116">
        <f t="shared" si="68"/>
        <v>0</v>
      </c>
      <c r="O250" s="338">
        <v>3.2</v>
      </c>
      <c r="P250" s="149">
        <f t="shared" si="69"/>
        <v>8.128</v>
      </c>
      <c r="Q250" s="116">
        <f t="shared" si="70"/>
        <v>41.452799999999996</v>
      </c>
      <c r="R250" s="149">
        <f t="shared" si="71"/>
        <v>0</v>
      </c>
      <c r="V250" s="116"/>
    </row>
    <row r="251" spans="1:22" s="8" customFormat="1" ht="16.5" customHeight="1">
      <c r="A251" s="11">
        <v>4</v>
      </c>
      <c r="B251" s="133" t="s">
        <v>462</v>
      </c>
      <c r="C251" s="11" t="s">
        <v>463</v>
      </c>
      <c r="D251" s="334">
        <v>1</v>
      </c>
      <c r="E251" s="230">
        <v>6.4</v>
      </c>
      <c r="F251" s="149">
        <f t="shared" si="72"/>
        <v>6.4</v>
      </c>
      <c r="G251" s="335">
        <v>45.5</v>
      </c>
      <c r="H251" s="149">
        <f t="shared" si="63"/>
        <v>115.57000000000001</v>
      </c>
      <c r="I251" s="116">
        <f t="shared" si="64"/>
        <v>739.6480000000001</v>
      </c>
      <c r="J251" s="336">
        <v>0</v>
      </c>
      <c r="K251" s="116">
        <f t="shared" si="65"/>
        <v>0</v>
      </c>
      <c r="L251" s="337">
        <f t="shared" si="66"/>
        <v>45.5</v>
      </c>
      <c r="M251" s="149">
        <f t="shared" si="67"/>
        <v>115.57000000000001</v>
      </c>
      <c r="N251" s="116">
        <f t="shared" si="68"/>
        <v>0</v>
      </c>
      <c r="O251" s="338">
        <v>1.5</v>
      </c>
      <c r="P251" s="149">
        <f t="shared" si="69"/>
        <v>3.81</v>
      </c>
      <c r="Q251" s="116">
        <f t="shared" si="70"/>
        <v>24.384</v>
      </c>
      <c r="R251" s="149">
        <f t="shared" si="71"/>
        <v>0</v>
      </c>
      <c r="V251" s="116"/>
    </row>
    <row r="252" spans="1:22" s="8" customFormat="1" ht="16.5" customHeight="1">
      <c r="A252" s="11">
        <v>4</v>
      </c>
      <c r="B252" s="133" t="s">
        <v>464</v>
      </c>
      <c r="C252" s="11" t="s">
        <v>463</v>
      </c>
      <c r="D252" s="334">
        <v>1</v>
      </c>
      <c r="E252" s="230">
        <v>6.4</v>
      </c>
      <c r="F252" s="149">
        <f t="shared" si="72"/>
        <v>6.4</v>
      </c>
      <c r="G252" s="335">
        <v>45.5</v>
      </c>
      <c r="H252" s="149">
        <f t="shared" si="63"/>
        <v>115.57000000000001</v>
      </c>
      <c r="I252" s="116">
        <f t="shared" si="64"/>
        <v>739.6480000000001</v>
      </c>
      <c r="J252" s="336">
        <v>0</v>
      </c>
      <c r="K252" s="116">
        <f t="shared" si="65"/>
        <v>0</v>
      </c>
      <c r="L252" s="337">
        <f t="shared" si="66"/>
        <v>45.5</v>
      </c>
      <c r="M252" s="149">
        <f t="shared" si="67"/>
        <v>115.57000000000001</v>
      </c>
      <c r="N252" s="116">
        <f t="shared" si="68"/>
        <v>0</v>
      </c>
      <c r="O252" s="338">
        <v>-1.5</v>
      </c>
      <c r="P252" s="149">
        <f t="shared" si="69"/>
        <v>-3.81</v>
      </c>
      <c r="Q252" s="116">
        <f t="shared" si="70"/>
        <v>-24.384</v>
      </c>
      <c r="R252" s="149">
        <f t="shared" si="71"/>
        <v>0</v>
      </c>
      <c r="V252" s="116"/>
    </row>
    <row r="253" spans="1:22" s="8" customFormat="1" ht="33.75" customHeight="1">
      <c r="A253" s="11">
        <v>4</v>
      </c>
      <c r="B253" s="400" t="s">
        <v>350</v>
      </c>
      <c r="C253" s="11" t="s">
        <v>463</v>
      </c>
      <c r="D253" s="334">
        <v>1</v>
      </c>
      <c r="E253" s="230">
        <v>6.4</v>
      </c>
      <c r="F253" s="149">
        <f t="shared" si="72"/>
        <v>6.4</v>
      </c>
      <c r="G253" s="335">
        <v>45.5</v>
      </c>
      <c r="H253" s="149">
        <f t="shared" si="63"/>
        <v>115.57000000000001</v>
      </c>
      <c r="I253" s="116">
        <f t="shared" si="64"/>
        <v>739.6480000000001</v>
      </c>
      <c r="J253" s="336">
        <v>0</v>
      </c>
      <c r="K253" s="116">
        <f t="shared" si="65"/>
        <v>0</v>
      </c>
      <c r="L253" s="337">
        <f t="shared" si="66"/>
        <v>45.5</v>
      </c>
      <c r="M253" s="149">
        <f t="shared" si="67"/>
        <v>115.57000000000001</v>
      </c>
      <c r="N253" s="116">
        <f t="shared" si="68"/>
        <v>0</v>
      </c>
      <c r="O253" s="338">
        <v>-3.2</v>
      </c>
      <c r="P253" s="149">
        <f t="shared" si="69"/>
        <v>-8.128</v>
      </c>
      <c r="Q253" s="116">
        <f t="shared" si="70"/>
        <v>-52.019200000000005</v>
      </c>
      <c r="R253" s="149">
        <f t="shared" si="71"/>
        <v>0</v>
      </c>
      <c r="V253" s="116"/>
    </row>
    <row r="254" spans="2:5" ht="16.5" customHeight="1">
      <c r="B254" s="118" t="s">
        <v>351</v>
      </c>
      <c r="E254" s="91"/>
    </row>
    <row r="255" spans="1:22" s="8" customFormat="1" ht="33.75" customHeight="1">
      <c r="A255" s="11">
        <v>3</v>
      </c>
      <c r="B255" s="400" t="s">
        <v>352</v>
      </c>
      <c r="C255" s="410" t="s">
        <v>353</v>
      </c>
      <c r="D255" s="334">
        <v>1</v>
      </c>
      <c r="E255" s="230">
        <v>40</v>
      </c>
      <c r="F255" s="149">
        <f>E255*D255</f>
        <v>40</v>
      </c>
      <c r="G255" s="335">
        <v>47.75</v>
      </c>
      <c r="H255" s="149">
        <f>G255*2.54</f>
        <v>121.285</v>
      </c>
      <c r="I255" s="116">
        <f>F255*H255</f>
        <v>4851.4</v>
      </c>
      <c r="J255" s="336">
        <v>0</v>
      </c>
      <c r="K255" s="116">
        <f>J255*D255</f>
        <v>0</v>
      </c>
      <c r="L255" s="337">
        <f>G255</f>
        <v>47.75</v>
      </c>
      <c r="M255" s="149">
        <f>L255*2.54</f>
        <v>121.285</v>
      </c>
      <c r="N255" s="116">
        <f>K255*M255</f>
        <v>0</v>
      </c>
      <c r="O255" s="338">
        <v>2.5</v>
      </c>
      <c r="P255" s="149">
        <f>O255*2.54</f>
        <v>6.35</v>
      </c>
      <c r="Q255" s="116">
        <f>F255*P255</f>
        <v>254</v>
      </c>
      <c r="R255" s="149">
        <f>K255*P255</f>
        <v>0</v>
      </c>
      <c r="V255" s="116"/>
    </row>
    <row r="256" spans="1:22" s="8" customFormat="1" ht="33.75" customHeight="1">
      <c r="A256" s="11">
        <v>3</v>
      </c>
      <c r="B256" s="400" t="s">
        <v>354</v>
      </c>
      <c r="C256" s="410" t="s">
        <v>355</v>
      </c>
      <c r="D256" s="334">
        <v>1</v>
      </c>
      <c r="E256" s="230">
        <v>38.5</v>
      </c>
      <c r="F256" s="149">
        <f>E256*D256</f>
        <v>38.5</v>
      </c>
      <c r="G256" s="335">
        <v>47.75</v>
      </c>
      <c r="H256" s="149">
        <f>G256*2.54</f>
        <v>121.285</v>
      </c>
      <c r="I256" s="116">
        <f>F256*H256</f>
        <v>4669.4725</v>
      </c>
      <c r="J256" s="336">
        <v>0</v>
      </c>
      <c r="K256" s="116">
        <f>J256*D256</f>
        <v>0</v>
      </c>
      <c r="L256" s="337">
        <f>G256</f>
        <v>47.75</v>
      </c>
      <c r="M256" s="149">
        <f>L256*2.54</f>
        <v>121.285</v>
      </c>
      <c r="N256" s="116">
        <f>K256*M256</f>
        <v>0</v>
      </c>
      <c r="O256" s="338">
        <v>2.5</v>
      </c>
      <c r="P256" s="149">
        <f>O256*2.54</f>
        <v>6.35</v>
      </c>
      <c r="Q256" s="116">
        <f>F256*P256</f>
        <v>244.475</v>
      </c>
      <c r="R256" s="149">
        <f>K256*P256</f>
        <v>0</v>
      </c>
      <c r="V256" s="116"/>
    </row>
    <row r="257" spans="1:22" s="8" customFormat="1" ht="25.5" customHeight="1">
      <c r="A257" s="11">
        <v>3</v>
      </c>
      <c r="B257" s="133" t="s">
        <v>356</v>
      </c>
      <c r="C257" s="407" t="s">
        <v>357</v>
      </c>
      <c r="D257" s="334">
        <v>1</v>
      </c>
      <c r="E257" s="230">
        <v>2.2</v>
      </c>
      <c r="F257" s="149">
        <f>E257*D257</f>
        <v>2.2</v>
      </c>
      <c r="G257" s="335">
        <v>47.64</v>
      </c>
      <c r="H257" s="149">
        <f>G257*2.54</f>
        <v>121.0056</v>
      </c>
      <c r="I257" s="116">
        <f>F257*H257</f>
        <v>266.21232000000003</v>
      </c>
      <c r="J257" s="336">
        <v>0</v>
      </c>
      <c r="K257" s="116">
        <f>J257*D257</f>
        <v>0</v>
      </c>
      <c r="L257" s="337">
        <f>G257</f>
        <v>47.64</v>
      </c>
      <c r="M257" s="149">
        <f>L257*2.54</f>
        <v>121.0056</v>
      </c>
      <c r="N257" s="116">
        <f>K257*M257</f>
        <v>0</v>
      </c>
      <c r="O257" s="338">
        <v>0</v>
      </c>
      <c r="P257" s="149">
        <f>O257*2.54</f>
        <v>0</v>
      </c>
      <c r="Q257" s="116">
        <f>F257*P257</f>
        <v>0</v>
      </c>
      <c r="R257" s="149">
        <f>K257*P257</f>
        <v>0</v>
      </c>
      <c r="V257" s="116"/>
    </row>
    <row r="258" spans="1:22" s="126" customFormat="1" ht="16.5" customHeight="1">
      <c r="A258" s="124">
        <v>3</v>
      </c>
      <c r="B258" s="290" t="s">
        <v>358</v>
      </c>
      <c r="C258" s="293" t="s">
        <v>467</v>
      </c>
      <c r="D258" s="224">
        <v>1</v>
      </c>
      <c r="E258" s="230">
        <v>2.6</v>
      </c>
      <c r="F258" s="231">
        <f>E258*D258</f>
        <v>2.6</v>
      </c>
      <c r="G258" s="252">
        <v>48.28</v>
      </c>
      <c r="H258" s="231">
        <f>G258*2.54</f>
        <v>122.6312</v>
      </c>
      <c r="I258" s="151">
        <f>F258*H258</f>
        <v>318.84112000000005</v>
      </c>
      <c r="J258" s="336">
        <v>0</v>
      </c>
      <c r="K258" s="151">
        <f>J258*D258</f>
        <v>0</v>
      </c>
      <c r="L258" s="254">
        <f>G258</f>
        <v>48.28</v>
      </c>
      <c r="M258" s="231">
        <f>L258*2.54</f>
        <v>122.6312</v>
      </c>
      <c r="N258" s="151">
        <f>K258*M258</f>
        <v>0</v>
      </c>
      <c r="O258" s="233">
        <v>0</v>
      </c>
      <c r="P258" s="231">
        <f>O258*2.54</f>
        <v>0</v>
      </c>
      <c r="Q258" s="151">
        <f>F258*P258</f>
        <v>0</v>
      </c>
      <c r="R258" s="231">
        <f>K258*P258</f>
        <v>0</v>
      </c>
      <c r="V258" s="151"/>
    </row>
    <row r="259" spans="1:22" s="8" customFormat="1" ht="16.5" customHeight="1">
      <c r="A259" s="11">
        <v>3</v>
      </c>
      <c r="B259" s="133" t="s">
        <v>359</v>
      </c>
      <c r="C259" s="398" t="s">
        <v>467</v>
      </c>
      <c r="D259" s="334">
        <v>1</v>
      </c>
      <c r="E259" s="230">
        <v>5.2</v>
      </c>
      <c r="F259" s="149">
        <f>E259*D259</f>
        <v>5.2</v>
      </c>
      <c r="G259" s="335">
        <v>47.9</v>
      </c>
      <c r="H259" s="149">
        <f>G259*2.54</f>
        <v>121.666</v>
      </c>
      <c r="I259" s="116">
        <f>F259*H259</f>
        <v>632.6632</v>
      </c>
      <c r="J259" s="336">
        <v>0</v>
      </c>
      <c r="K259" s="116">
        <f>J259*D259</f>
        <v>0</v>
      </c>
      <c r="L259" s="337">
        <f>G259</f>
        <v>47.9</v>
      </c>
      <c r="M259" s="149">
        <f>L259*2.54</f>
        <v>121.666</v>
      </c>
      <c r="N259" s="116">
        <f>K259*M259</f>
        <v>0</v>
      </c>
      <c r="O259" s="338">
        <v>0</v>
      </c>
      <c r="P259" s="149">
        <f>O259*2.54</f>
        <v>0</v>
      </c>
      <c r="Q259" s="116">
        <f>F259*P259</f>
        <v>0</v>
      </c>
      <c r="R259" s="149">
        <f>K259*P259</f>
        <v>0</v>
      </c>
      <c r="V259" s="116"/>
    </row>
    <row r="260" spans="1:22" s="8" customFormat="1" ht="16.5" customHeight="1">
      <c r="A260" s="11"/>
      <c r="B260" s="11" t="s">
        <v>360</v>
      </c>
      <c r="C260" s="11"/>
      <c r="D260" s="334"/>
      <c r="E260" s="230"/>
      <c r="F260" s="149"/>
      <c r="G260" s="335"/>
      <c r="H260" s="149"/>
      <c r="I260" s="116"/>
      <c r="J260" s="336"/>
      <c r="K260" s="116"/>
      <c r="L260" s="337"/>
      <c r="M260" s="149"/>
      <c r="N260" s="116"/>
      <c r="O260" s="338"/>
      <c r="P260" s="149"/>
      <c r="Q260" s="116"/>
      <c r="R260" s="149"/>
      <c r="V260" s="116"/>
    </row>
    <row r="261" spans="1:22" s="8" customFormat="1" ht="16.5" customHeight="1">
      <c r="A261" s="11">
        <v>3</v>
      </c>
      <c r="B261" s="133" t="s">
        <v>361</v>
      </c>
      <c r="C261" s="398" t="s">
        <v>362</v>
      </c>
      <c r="D261" s="334">
        <v>1</v>
      </c>
      <c r="E261" s="230">
        <v>25.1</v>
      </c>
      <c r="F261" s="149">
        <f aca="true" t="shared" si="73" ref="F261:F273">E261*D261</f>
        <v>25.1</v>
      </c>
      <c r="G261" s="335">
        <v>45.5</v>
      </c>
      <c r="H261" s="149">
        <f aca="true" t="shared" si="74" ref="H261:H273">G261*2.54</f>
        <v>115.57000000000001</v>
      </c>
      <c r="I261" s="116">
        <f aca="true" t="shared" si="75" ref="I261:I273">F261*H261</f>
        <v>2900.8070000000002</v>
      </c>
      <c r="J261" s="336">
        <v>0</v>
      </c>
      <c r="K261" s="116">
        <f aca="true" t="shared" si="76" ref="K261:K273">J261*D261</f>
        <v>0</v>
      </c>
      <c r="L261" s="337">
        <f aca="true" t="shared" si="77" ref="L261:L273">G261</f>
        <v>45.5</v>
      </c>
      <c r="M261" s="149">
        <f aca="true" t="shared" si="78" ref="M261:M273">L261*2.54</f>
        <v>115.57000000000001</v>
      </c>
      <c r="N261" s="116">
        <f aca="true" t="shared" si="79" ref="N261:N273">K261*M261</f>
        <v>0</v>
      </c>
      <c r="O261" s="338">
        <v>3.4</v>
      </c>
      <c r="P261" s="149">
        <f aca="true" t="shared" si="80" ref="P261:P273">O261*2.54</f>
        <v>8.636</v>
      </c>
      <c r="Q261" s="116">
        <f aca="true" t="shared" si="81" ref="Q261:Q273">F261*P261</f>
        <v>216.7636</v>
      </c>
      <c r="R261" s="149">
        <f aca="true" t="shared" si="82" ref="R261:R273">K261*P261</f>
        <v>0</v>
      </c>
      <c r="V261" s="116"/>
    </row>
    <row r="262" spans="1:22" s="8" customFormat="1" ht="16.5" customHeight="1">
      <c r="A262" s="11">
        <v>3</v>
      </c>
      <c r="B262" s="133" t="s">
        <v>363</v>
      </c>
      <c r="C262" s="11">
        <v>55385</v>
      </c>
      <c r="D262" s="334">
        <v>1</v>
      </c>
      <c r="E262" s="230">
        <v>34.1</v>
      </c>
      <c r="F262" s="149">
        <f t="shared" si="73"/>
        <v>34.1</v>
      </c>
      <c r="G262" s="335">
        <v>45.5</v>
      </c>
      <c r="H262" s="149">
        <f t="shared" si="74"/>
        <v>115.57000000000001</v>
      </c>
      <c r="I262" s="116">
        <f t="shared" si="75"/>
        <v>3940.9370000000004</v>
      </c>
      <c r="J262" s="336">
        <v>0</v>
      </c>
      <c r="K262" s="116">
        <f t="shared" si="76"/>
        <v>0</v>
      </c>
      <c r="L262" s="337">
        <f t="shared" si="77"/>
        <v>45.5</v>
      </c>
      <c r="M262" s="149">
        <f t="shared" si="78"/>
        <v>115.57000000000001</v>
      </c>
      <c r="N262" s="116">
        <f t="shared" si="79"/>
        <v>0</v>
      </c>
      <c r="O262" s="338">
        <v>1.7</v>
      </c>
      <c r="P262" s="149">
        <f t="shared" si="80"/>
        <v>4.318</v>
      </c>
      <c r="Q262" s="116">
        <f t="shared" si="81"/>
        <v>147.2438</v>
      </c>
      <c r="R262" s="149">
        <f t="shared" si="82"/>
        <v>0</v>
      </c>
      <c r="V262" s="116"/>
    </row>
    <row r="263" spans="1:22" s="8" customFormat="1" ht="16.5" customHeight="1">
      <c r="A263" s="11">
        <v>3</v>
      </c>
      <c r="B263" s="133" t="s">
        <v>364</v>
      </c>
      <c r="C263" s="11">
        <v>52261</v>
      </c>
      <c r="D263" s="334">
        <v>1</v>
      </c>
      <c r="E263" s="230">
        <v>2.9</v>
      </c>
      <c r="F263" s="149">
        <f t="shared" si="73"/>
        <v>2.9</v>
      </c>
      <c r="G263" s="335">
        <v>44.4</v>
      </c>
      <c r="H263" s="149">
        <f t="shared" si="74"/>
        <v>112.776</v>
      </c>
      <c r="I263" s="116">
        <f t="shared" si="75"/>
        <v>327.05039999999997</v>
      </c>
      <c r="J263" s="336">
        <v>0</v>
      </c>
      <c r="K263" s="116">
        <f t="shared" si="76"/>
        <v>0</v>
      </c>
      <c r="L263" s="149">
        <f t="shared" si="77"/>
        <v>44.4</v>
      </c>
      <c r="M263" s="149">
        <f t="shared" si="78"/>
        <v>112.776</v>
      </c>
      <c r="N263" s="116">
        <f t="shared" si="79"/>
        <v>0</v>
      </c>
      <c r="O263" s="338">
        <v>1.5</v>
      </c>
      <c r="P263" s="149">
        <f t="shared" si="80"/>
        <v>3.81</v>
      </c>
      <c r="Q263" s="116">
        <f t="shared" si="81"/>
        <v>11.049</v>
      </c>
      <c r="R263" s="149">
        <f t="shared" si="82"/>
        <v>0</v>
      </c>
      <c r="V263" s="116"/>
    </row>
    <row r="264" spans="1:22" s="8" customFormat="1" ht="16.5" customHeight="1">
      <c r="A264" s="11">
        <v>3</v>
      </c>
      <c r="B264" s="133" t="s">
        <v>365</v>
      </c>
      <c r="C264" s="11" t="s">
        <v>366</v>
      </c>
      <c r="D264" s="334">
        <v>1</v>
      </c>
      <c r="E264" s="230">
        <v>19.9</v>
      </c>
      <c r="F264" s="149">
        <f t="shared" si="73"/>
        <v>19.9</v>
      </c>
      <c r="G264" s="335">
        <v>45.5</v>
      </c>
      <c r="H264" s="149">
        <f t="shared" si="74"/>
        <v>115.57000000000001</v>
      </c>
      <c r="I264" s="116">
        <f t="shared" si="75"/>
        <v>2299.843</v>
      </c>
      <c r="J264" s="336">
        <v>0</v>
      </c>
      <c r="K264" s="116">
        <f t="shared" si="76"/>
        <v>0</v>
      </c>
      <c r="L264" s="337">
        <f t="shared" si="77"/>
        <v>45.5</v>
      </c>
      <c r="M264" s="149">
        <f t="shared" si="78"/>
        <v>115.57000000000001</v>
      </c>
      <c r="N264" s="116">
        <f t="shared" si="79"/>
        <v>0</v>
      </c>
      <c r="O264" s="338">
        <v>1.9</v>
      </c>
      <c r="P264" s="149">
        <f t="shared" si="80"/>
        <v>4.826</v>
      </c>
      <c r="Q264" s="116">
        <f t="shared" si="81"/>
        <v>96.03739999999999</v>
      </c>
      <c r="R264" s="149">
        <f t="shared" si="82"/>
        <v>0</v>
      </c>
      <c r="V264" s="116"/>
    </row>
    <row r="265" spans="1:22" s="8" customFormat="1" ht="16.5" customHeight="1">
      <c r="A265" s="11">
        <v>3</v>
      </c>
      <c r="B265" s="133" t="s">
        <v>367</v>
      </c>
      <c r="C265" s="11">
        <v>55388</v>
      </c>
      <c r="D265" s="334">
        <v>1</v>
      </c>
      <c r="E265" s="230">
        <v>21.9</v>
      </c>
      <c r="F265" s="149">
        <f t="shared" si="73"/>
        <v>21.9</v>
      </c>
      <c r="G265" s="335">
        <v>45.5</v>
      </c>
      <c r="H265" s="149">
        <f t="shared" si="74"/>
        <v>115.57000000000001</v>
      </c>
      <c r="I265" s="116">
        <f t="shared" si="75"/>
        <v>2530.983</v>
      </c>
      <c r="J265" s="336">
        <v>0</v>
      </c>
      <c r="K265" s="116">
        <f t="shared" si="76"/>
        <v>0</v>
      </c>
      <c r="L265" s="337">
        <f t="shared" si="77"/>
        <v>45.5</v>
      </c>
      <c r="M265" s="149">
        <f t="shared" si="78"/>
        <v>115.57000000000001</v>
      </c>
      <c r="N265" s="116">
        <f t="shared" si="79"/>
        <v>0</v>
      </c>
      <c r="O265" s="338">
        <v>-1.7</v>
      </c>
      <c r="P265" s="149">
        <f t="shared" si="80"/>
        <v>-4.318</v>
      </c>
      <c r="Q265" s="116">
        <f t="shared" si="81"/>
        <v>-94.56419999999999</v>
      </c>
      <c r="R265" s="149">
        <f t="shared" si="82"/>
        <v>0</v>
      </c>
      <c r="V265" s="116"/>
    </row>
    <row r="266" spans="1:22" s="8" customFormat="1" ht="16.5" customHeight="1">
      <c r="A266" s="11">
        <v>3</v>
      </c>
      <c r="B266" s="133" t="s">
        <v>368</v>
      </c>
      <c r="C266" s="11">
        <v>52260</v>
      </c>
      <c r="D266" s="334">
        <v>1</v>
      </c>
      <c r="E266" s="230">
        <v>5</v>
      </c>
      <c r="F266" s="149">
        <f t="shared" si="73"/>
        <v>5</v>
      </c>
      <c r="G266" s="335">
        <v>44.4</v>
      </c>
      <c r="H266" s="149">
        <f t="shared" si="74"/>
        <v>112.776</v>
      </c>
      <c r="I266" s="116">
        <f t="shared" si="75"/>
        <v>563.88</v>
      </c>
      <c r="J266" s="336">
        <v>0</v>
      </c>
      <c r="K266" s="116">
        <f t="shared" si="76"/>
        <v>0</v>
      </c>
      <c r="L266" s="149">
        <f t="shared" si="77"/>
        <v>44.4</v>
      </c>
      <c r="M266" s="149">
        <f t="shared" si="78"/>
        <v>112.776</v>
      </c>
      <c r="N266" s="116">
        <f t="shared" si="79"/>
        <v>0</v>
      </c>
      <c r="O266" s="338">
        <v>0.5</v>
      </c>
      <c r="P266" s="149">
        <f t="shared" si="80"/>
        <v>1.27</v>
      </c>
      <c r="Q266" s="116">
        <f t="shared" si="81"/>
        <v>6.35</v>
      </c>
      <c r="R266" s="149">
        <f t="shared" si="82"/>
        <v>0</v>
      </c>
      <c r="V266" s="116"/>
    </row>
    <row r="267" spans="1:22" s="8" customFormat="1" ht="16.5" customHeight="1">
      <c r="A267" s="11">
        <v>3</v>
      </c>
      <c r="B267" s="133" t="s">
        <v>369</v>
      </c>
      <c r="C267" s="11" t="s">
        <v>370</v>
      </c>
      <c r="D267" s="334">
        <v>1</v>
      </c>
      <c r="E267" s="230">
        <v>15.9</v>
      </c>
      <c r="F267" s="149">
        <f t="shared" si="73"/>
        <v>15.9</v>
      </c>
      <c r="G267" s="335">
        <v>45.5</v>
      </c>
      <c r="H267" s="149">
        <f t="shared" si="74"/>
        <v>115.57000000000001</v>
      </c>
      <c r="I267" s="116">
        <f t="shared" si="75"/>
        <v>1837.563</v>
      </c>
      <c r="J267" s="336">
        <v>0</v>
      </c>
      <c r="K267" s="116">
        <f t="shared" si="76"/>
        <v>0</v>
      </c>
      <c r="L267" s="337">
        <f t="shared" si="77"/>
        <v>45.5</v>
      </c>
      <c r="M267" s="149">
        <f t="shared" si="78"/>
        <v>115.57000000000001</v>
      </c>
      <c r="N267" s="116">
        <f t="shared" si="79"/>
        <v>0</v>
      </c>
      <c r="O267" s="338">
        <v>-1.9</v>
      </c>
      <c r="P267" s="149">
        <f t="shared" si="80"/>
        <v>-4.826</v>
      </c>
      <c r="Q267" s="116">
        <f t="shared" si="81"/>
        <v>-76.73339999999999</v>
      </c>
      <c r="R267" s="149">
        <f t="shared" si="82"/>
        <v>0</v>
      </c>
      <c r="V267" s="116"/>
    </row>
    <row r="268" spans="1:22" s="8" customFormat="1" ht="16.5" customHeight="1">
      <c r="A268" s="11">
        <v>3</v>
      </c>
      <c r="B268" s="133" t="s">
        <v>371</v>
      </c>
      <c r="C268" s="11">
        <v>55524</v>
      </c>
      <c r="D268" s="334">
        <v>1</v>
      </c>
      <c r="E268" s="230"/>
      <c r="F268" s="149">
        <f t="shared" si="73"/>
        <v>0</v>
      </c>
      <c r="G268" s="335">
        <v>45.5</v>
      </c>
      <c r="H268" s="149">
        <f t="shared" si="74"/>
        <v>115.57000000000001</v>
      </c>
      <c r="I268" s="116">
        <f t="shared" si="75"/>
        <v>0</v>
      </c>
      <c r="J268" s="336">
        <v>0</v>
      </c>
      <c r="K268" s="116">
        <f t="shared" si="76"/>
        <v>0</v>
      </c>
      <c r="L268" s="149">
        <f t="shared" si="77"/>
        <v>45.5</v>
      </c>
      <c r="M268" s="149">
        <f t="shared" si="78"/>
        <v>115.57000000000001</v>
      </c>
      <c r="N268" s="116">
        <f t="shared" si="79"/>
        <v>0</v>
      </c>
      <c r="O268" s="338">
        <v>-3.4</v>
      </c>
      <c r="P268" s="149">
        <f t="shared" si="80"/>
        <v>-8.636</v>
      </c>
      <c r="Q268" s="116">
        <f t="shared" si="81"/>
        <v>0</v>
      </c>
      <c r="R268" s="149">
        <f t="shared" si="82"/>
        <v>0</v>
      </c>
      <c r="V268" s="116"/>
    </row>
    <row r="269" spans="1:22" s="8" customFormat="1" ht="16.5" customHeight="1">
      <c r="A269" s="11">
        <v>3</v>
      </c>
      <c r="B269" s="133" t="s">
        <v>372</v>
      </c>
      <c r="C269" s="11">
        <v>52265</v>
      </c>
      <c r="D269" s="334">
        <v>1</v>
      </c>
      <c r="E269" s="230">
        <v>6.1</v>
      </c>
      <c r="F269" s="149">
        <f t="shared" si="73"/>
        <v>6.1</v>
      </c>
      <c r="G269" s="335">
        <v>44.4</v>
      </c>
      <c r="H269" s="149">
        <f t="shared" si="74"/>
        <v>112.776</v>
      </c>
      <c r="I269" s="116">
        <f t="shared" si="75"/>
        <v>687.9336</v>
      </c>
      <c r="J269" s="336">
        <v>0</v>
      </c>
      <c r="K269" s="116">
        <f t="shared" si="76"/>
        <v>0</v>
      </c>
      <c r="L269" s="149">
        <f t="shared" si="77"/>
        <v>44.4</v>
      </c>
      <c r="M269" s="149">
        <f t="shared" si="78"/>
        <v>112.776</v>
      </c>
      <c r="N269" s="116">
        <f t="shared" si="79"/>
        <v>0</v>
      </c>
      <c r="O269" s="338">
        <v>0</v>
      </c>
      <c r="P269" s="149">
        <f t="shared" si="80"/>
        <v>0</v>
      </c>
      <c r="Q269" s="116">
        <f t="shared" si="81"/>
        <v>0</v>
      </c>
      <c r="R269" s="149">
        <f t="shared" si="82"/>
        <v>0</v>
      </c>
      <c r="V269" s="116"/>
    </row>
    <row r="270" spans="1:22" s="8" customFormat="1" ht="16.5" customHeight="1">
      <c r="A270" s="11">
        <v>3</v>
      </c>
      <c r="B270" s="133" t="s">
        <v>373</v>
      </c>
      <c r="C270" s="398" t="s">
        <v>374</v>
      </c>
      <c r="D270" s="334">
        <v>1</v>
      </c>
      <c r="E270" s="230">
        <v>30</v>
      </c>
      <c r="F270" s="149">
        <f t="shared" si="73"/>
        <v>30</v>
      </c>
      <c r="G270" s="386">
        <v>38.625</v>
      </c>
      <c r="H270" s="149">
        <f t="shared" si="74"/>
        <v>98.1075</v>
      </c>
      <c r="I270" s="116">
        <f t="shared" si="75"/>
        <v>2943.225</v>
      </c>
      <c r="J270" s="336">
        <v>0</v>
      </c>
      <c r="K270" s="116">
        <f t="shared" si="76"/>
        <v>0</v>
      </c>
      <c r="L270" s="337">
        <f t="shared" si="77"/>
        <v>38.625</v>
      </c>
      <c r="M270" s="149">
        <f t="shared" si="78"/>
        <v>98.1075</v>
      </c>
      <c r="N270" s="116">
        <f t="shared" si="79"/>
        <v>0</v>
      </c>
      <c r="O270" s="338">
        <v>3.5</v>
      </c>
      <c r="P270" s="149">
        <f t="shared" si="80"/>
        <v>8.89</v>
      </c>
      <c r="Q270" s="116">
        <f t="shared" si="81"/>
        <v>266.70000000000005</v>
      </c>
      <c r="R270" s="149">
        <f t="shared" si="82"/>
        <v>0</v>
      </c>
      <c r="V270" s="116"/>
    </row>
    <row r="271" spans="1:22" s="8" customFormat="1" ht="16.5" customHeight="1">
      <c r="A271" s="11">
        <v>3</v>
      </c>
      <c r="B271" s="133" t="s">
        <v>267</v>
      </c>
      <c r="C271" s="398" t="s">
        <v>268</v>
      </c>
      <c r="D271" s="334">
        <v>1</v>
      </c>
      <c r="E271" s="230">
        <v>36.8</v>
      </c>
      <c r="F271" s="149">
        <f t="shared" si="73"/>
        <v>36.8</v>
      </c>
      <c r="G271" s="386">
        <v>38.625</v>
      </c>
      <c r="H271" s="149">
        <f t="shared" si="74"/>
        <v>98.1075</v>
      </c>
      <c r="I271" s="116">
        <f t="shared" si="75"/>
        <v>3610.3559999999998</v>
      </c>
      <c r="J271" s="336">
        <v>0</v>
      </c>
      <c r="K271" s="116">
        <f t="shared" si="76"/>
        <v>0</v>
      </c>
      <c r="L271" s="337">
        <f t="shared" si="77"/>
        <v>38.625</v>
      </c>
      <c r="M271" s="149">
        <f t="shared" si="78"/>
        <v>98.1075</v>
      </c>
      <c r="N271" s="116">
        <f t="shared" si="79"/>
        <v>0</v>
      </c>
      <c r="O271" s="338">
        <v>3.5</v>
      </c>
      <c r="P271" s="149">
        <f t="shared" si="80"/>
        <v>8.89</v>
      </c>
      <c r="Q271" s="116">
        <f t="shared" si="81"/>
        <v>327.152</v>
      </c>
      <c r="R271" s="149">
        <f t="shared" si="82"/>
        <v>0</v>
      </c>
      <c r="V271" s="116"/>
    </row>
    <row r="272" spans="1:27" s="218" customFormat="1" ht="33" customHeight="1">
      <c r="A272" s="11">
        <v>3</v>
      </c>
      <c r="B272" s="289" t="s">
        <v>269</v>
      </c>
      <c r="C272" s="11">
        <v>52368</v>
      </c>
      <c r="D272" s="334">
        <v>1</v>
      </c>
      <c r="E272" s="230">
        <v>285.3</v>
      </c>
      <c r="F272" s="149">
        <f t="shared" si="73"/>
        <v>285.3</v>
      </c>
      <c r="G272" s="335">
        <v>47.864</v>
      </c>
      <c r="H272" s="149">
        <f t="shared" si="74"/>
        <v>121.57455999999999</v>
      </c>
      <c r="I272" s="116">
        <f t="shared" si="75"/>
        <v>34685.221968</v>
      </c>
      <c r="J272" s="232">
        <v>184.027</v>
      </c>
      <c r="K272" s="116">
        <f t="shared" si="76"/>
        <v>184.027</v>
      </c>
      <c r="L272" s="337">
        <f t="shared" si="77"/>
        <v>47.864</v>
      </c>
      <c r="M272" s="149">
        <f t="shared" si="78"/>
        <v>121.57455999999999</v>
      </c>
      <c r="N272" s="116">
        <f t="shared" si="79"/>
        <v>22373.001553119997</v>
      </c>
      <c r="O272" s="338">
        <v>7.058</v>
      </c>
      <c r="P272" s="149">
        <f t="shared" si="80"/>
        <v>17.927319999999998</v>
      </c>
      <c r="Q272" s="116">
        <f t="shared" si="81"/>
        <v>5114.664396</v>
      </c>
      <c r="R272" s="149">
        <f t="shared" si="82"/>
        <v>3299.1109176399996</v>
      </c>
      <c r="S272" s="8"/>
      <c r="T272" s="8"/>
      <c r="U272" s="8"/>
      <c r="V272" s="219"/>
      <c r="W272" s="8"/>
      <c r="X272" s="8"/>
      <c r="Z272" s="8"/>
      <c r="AA272" s="8"/>
    </row>
    <row r="273" spans="1:22" s="8" customFormat="1" ht="16.5" customHeight="1">
      <c r="A273" s="11">
        <v>3</v>
      </c>
      <c r="B273" s="133" t="s">
        <v>270</v>
      </c>
      <c r="C273" s="398" t="s">
        <v>549</v>
      </c>
      <c r="D273" s="334">
        <v>1</v>
      </c>
      <c r="E273" s="230">
        <v>85.5</v>
      </c>
      <c r="F273" s="149">
        <f t="shared" si="73"/>
        <v>85.5</v>
      </c>
      <c r="G273" s="335">
        <v>43.9</v>
      </c>
      <c r="H273" s="149">
        <f t="shared" si="74"/>
        <v>111.506</v>
      </c>
      <c r="I273" s="116">
        <f t="shared" si="75"/>
        <v>9533.763</v>
      </c>
      <c r="J273" s="336">
        <v>0</v>
      </c>
      <c r="K273" s="116">
        <f t="shared" si="76"/>
        <v>0</v>
      </c>
      <c r="L273" s="337">
        <f t="shared" si="77"/>
        <v>43.9</v>
      </c>
      <c r="M273" s="149">
        <f t="shared" si="78"/>
        <v>111.506</v>
      </c>
      <c r="N273" s="116">
        <f t="shared" si="79"/>
        <v>0</v>
      </c>
      <c r="O273" s="338">
        <v>0</v>
      </c>
      <c r="P273" s="149">
        <f t="shared" si="80"/>
        <v>0</v>
      </c>
      <c r="Q273" s="116">
        <f t="shared" si="81"/>
        <v>0</v>
      </c>
      <c r="R273" s="149">
        <f t="shared" si="82"/>
        <v>0</v>
      </c>
      <c r="V273" s="116"/>
    </row>
    <row r="274" spans="1:22" s="8" customFormat="1" ht="16.5" customHeight="1">
      <c r="A274" s="11"/>
      <c r="B274" s="133"/>
      <c r="C274" s="11"/>
      <c r="D274" s="334"/>
      <c r="E274" s="230"/>
      <c r="F274" s="149"/>
      <c r="G274" s="335"/>
      <c r="H274" s="149"/>
      <c r="I274" s="116"/>
      <c r="J274" s="253"/>
      <c r="K274" s="149"/>
      <c r="L274" s="337"/>
      <c r="M274" s="149"/>
      <c r="N274" s="116"/>
      <c r="O274" s="338"/>
      <c r="P274" s="149"/>
      <c r="Q274" s="116"/>
      <c r="R274" s="149"/>
      <c r="V274" s="116"/>
    </row>
    <row r="275" spans="1:22" s="8" customFormat="1" ht="16.5" customHeight="1">
      <c r="A275" s="379"/>
      <c r="B275" s="411"/>
      <c r="C275" s="379"/>
      <c r="D275" s="412"/>
      <c r="E275" s="413"/>
      <c r="F275" s="414"/>
      <c r="G275" s="415"/>
      <c r="H275" s="414"/>
      <c r="I275" s="416"/>
      <c r="J275" s="417"/>
      <c r="K275" s="416"/>
      <c r="L275" s="418"/>
      <c r="M275" s="414"/>
      <c r="N275" s="416"/>
      <c r="O275" s="419"/>
      <c r="P275" s="414"/>
      <c r="Q275" s="416"/>
      <c r="R275" s="414"/>
      <c r="V275" s="116"/>
    </row>
    <row r="276" spans="1:22" s="8" customFormat="1" ht="16.5" customHeight="1">
      <c r="A276" s="118"/>
      <c r="B276" s="155"/>
      <c r="C276" s="118"/>
      <c r="D276" s="198"/>
      <c r="F276" s="121" t="s">
        <v>695</v>
      </c>
      <c r="G276" s="121"/>
      <c r="I276" s="121" t="s">
        <v>696</v>
      </c>
      <c r="J276" s="199"/>
      <c r="N276" s="121" t="s">
        <v>696</v>
      </c>
      <c r="O276" s="200"/>
      <c r="Q276" s="121" t="s">
        <v>696</v>
      </c>
      <c r="R276" s="121" t="s">
        <v>696</v>
      </c>
      <c r="V276" s="116"/>
    </row>
    <row r="277" spans="1:22" s="8" customFormat="1" ht="16.5" customHeight="1">
      <c r="A277" s="118"/>
      <c r="B277" s="155"/>
      <c r="C277" s="118"/>
      <c r="D277" s="201" t="s">
        <v>699</v>
      </c>
      <c r="E277" s="202" t="s">
        <v>700</v>
      </c>
      <c r="F277" s="203" t="s">
        <v>700</v>
      </c>
      <c r="G277" s="204" t="s">
        <v>701</v>
      </c>
      <c r="H277" s="121" t="s">
        <v>701</v>
      </c>
      <c r="I277" s="121" t="s">
        <v>701</v>
      </c>
      <c r="J277" s="205" t="s">
        <v>702</v>
      </c>
      <c r="K277" s="121" t="s">
        <v>703</v>
      </c>
      <c r="L277" s="204" t="s">
        <v>704</v>
      </c>
      <c r="M277" s="121" t="s">
        <v>704</v>
      </c>
      <c r="N277" s="121" t="s">
        <v>704</v>
      </c>
      <c r="O277" s="206" t="s">
        <v>573</v>
      </c>
      <c r="P277" s="121" t="s">
        <v>574</v>
      </c>
      <c r="Q277" s="121" t="s">
        <v>573</v>
      </c>
      <c r="R277" s="121" t="s">
        <v>574</v>
      </c>
      <c r="V277" s="116"/>
    </row>
    <row r="278" spans="1:22" s="8" customFormat="1" ht="16.5" customHeight="1">
      <c r="A278" s="118"/>
      <c r="B278" s="155"/>
      <c r="C278" s="118"/>
      <c r="D278" s="209"/>
      <c r="E278" s="210" t="s">
        <v>578</v>
      </c>
      <c r="F278" s="208" t="s">
        <v>578</v>
      </c>
      <c r="G278" s="211" t="s">
        <v>579</v>
      </c>
      <c r="H278" s="208" t="s">
        <v>674</v>
      </c>
      <c r="I278" s="208" t="s">
        <v>580</v>
      </c>
      <c r="J278" s="212" t="s">
        <v>659</v>
      </c>
      <c r="K278" s="208" t="s">
        <v>659</v>
      </c>
      <c r="L278" s="211" t="s">
        <v>579</v>
      </c>
      <c r="M278" s="208" t="s">
        <v>674</v>
      </c>
      <c r="N278" s="208" t="s">
        <v>581</v>
      </c>
      <c r="O278" s="213" t="s">
        <v>674</v>
      </c>
      <c r="P278" s="208" t="s">
        <v>674</v>
      </c>
      <c r="Q278" s="208" t="s">
        <v>580</v>
      </c>
      <c r="R278" s="208" t="s">
        <v>581</v>
      </c>
      <c r="V278" s="116"/>
    </row>
    <row r="279" spans="1:19" s="8" customFormat="1" ht="16.5" customHeight="1">
      <c r="A279" s="121">
        <v>2</v>
      </c>
      <c r="B279" s="247" t="s">
        <v>271</v>
      </c>
      <c r="C279" s="203">
        <v>49889</v>
      </c>
      <c r="D279" s="206"/>
      <c r="E279" s="365"/>
      <c r="F279" s="132"/>
      <c r="G279" s="132"/>
      <c r="H279" s="141"/>
      <c r="I279" s="420"/>
      <c r="J279" s="327"/>
      <c r="K279" s="228"/>
      <c r="L279" s="327"/>
      <c r="M279" s="327"/>
      <c r="N279" s="421"/>
      <c r="O279" s="217"/>
      <c r="S279" s="116"/>
    </row>
    <row r="280" spans="1:30" s="126" customFormat="1" ht="16.5" customHeight="1">
      <c r="A280" s="124"/>
      <c r="B280" s="364" t="s">
        <v>584</v>
      </c>
      <c r="C280" s="365">
        <v>14006</v>
      </c>
      <c r="D280" s="220" t="s">
        <v>648</v>
      </c>
      <c r="E280" s="422">
        <f>C280</f>
        <v>14006</v>
      </c>
      <c r="F280" s="422">
        <f>E280-(F282+F283)</f>
        <v>2532</v>
      </c>
      <c r="H280" s="422">
        <v>70.656</v>
      </c>
      <c r="I280" s="423">
        <f>F280*H280</f>
        <v>178900.99200000003</v>
      </c>
      <c r="K280" s="424">
        <v>2669.8</v>
      </c>
      <c r="M280" s="422">
        <v>70.2</v>
      </c>
      <c r="N280" s="423">
        <f>K280*M280</f>
        <v>187419.96000000002</v>
      </c>
      <c r="O280" s="422">
        <v>-0.57</v>
      </c>
      <c r="P280" s="422">
        <v>0</v>
      </c>
      <c r="Q280" s="422">
        <f>F280*O280</f>
        <v>-1443.2399999999998</v>
      </c>
      <c r="R280" s="422">
        <f>K280*P280</f>
        <v>0</v>
      </c>
      <c r="S280"/>
      <c r="T280"/>
      <c r="U280"/>
      <c r="V280"/>
      <c r="W280"/>
      <c r="X280"/>
      <c r="Y280"/>
      <c r="Z280"/>
      <c r="AA280"/>
      <c r="AB280"/>
      <c r="AC280"/>
      <c r="AD280"/>
    </row>
    <row r="281" spans="1:19" s="126" customFormat="1" ht="16.5" customHeight="1">
      <c r="A281" s="124"/>
      <c r="B281" s="425" t="s">
        <v>272</v>
      </c>
      <c r="C281" s="344"/>
      <c r="D281" s="387"/>
      <c r="E281" s="426"/>
      <c r="F281" s="424"/>
      <c r="H281" s="424"/>
      <c r="I281" s="427"/>
      <c r="K281" s="428"/>
      <c r="M281" s="429"/>
      <c r="N281" s="427"/>
      <c r="O281" s="429"/>
      <c r="P281" s="429"/>
      <c r="Q281" s="429"/>
      <c r="R281" s="430"/>
      <c r="S281" s="151"/>
    </row>
    <row r="282" spans="1:19" s="126" customFormat="1" ht="16.5" customHeight="1">
      <c r="A282" s="124"/>
      <c r="B282" s="153" t="s">
        <v>386</v>
      </c>
      <c r="C282" s="124">
        <v>56759</v>
      </c>
      <c r="D282" s="224">
        <v>1</v>
      </c>
      <c r="E282" s="431">
        <v>1773</v>
      </c>
      <c r="F282" s="422">
        <f>E282</f>
        <v>1773</v>
      </c>
      <c r="H282" s="422">
        <f>82.634+C27*Cal!D16</f>
        <v>91.8628</v>
      </c>
      <c r="I282" s="423">
        <f>F282*H282</f>
        <v>162872.7444</v>
      </c>
      <c r="K282" s="422">
        <v>0</v>
      </c>
      <c r="M282" s="422">
        <f>H282</f>
        <v>91.8628</v>
      </c>
      <c r="N282" s="423">
        <f>K282*M282</f>
        <v>0</v>
      </c>
      <c r="O282" s="422">
        <v>-6.751</v>
      </c>
      <c r="P282" s="422">
        <v>0</v>
      </c>
      <c r="Q282" s="422">
        <f>F282*O282</f>
        <v>-11969.523000000001</v>
      </c>
      <c r="R282" s="422">
        <f>K282*P282</f>
        <v>0</v>
      </c>
      <c r="S282" s="151"/>
    </row>
    <row r="283" spans="1:19" s="126" customFormat="1" ht="16.5" customHeight="1">
      <c r="A283" s="124"/>
      <c r="B283" s="153" t="s">
        <v>387</v>
      </c>
      <c r="C283" s="124">
        <v>52238</v>
      </c>
      <c r="D283" s="224">
        <v>1</v>
      </c>
      <c r="E283" s="431">
        <v>9701</v>
      </c>
      <c r="F283" s="422">
        <f>E283</f>
        <v>9701</v>
      </c>
      <c r="H283" s="422">
        <f>83.413+C27*Cal!D16</f>
        <v>92.64179999999999</v>
      </c>
      <c r="I283" s="423">
        <f>F283*H283</f>
        <v>898718.1018</v>
      </c>
      <c r="K283" s="422">
        <v>0</v>
      </c>
      <c r="M283" s="422">
        <f>H283</f>
        <v>92.64179999999999</v>
      </c>
      <c r="N283" s="423">
        <f>K283*M283</f>
        <v>0</v>
      </c>
      <c r="O283" s="422">
        <v>-0.02</v>
      </c>
      <c r="P283" s="422">
        <f>O283</f>
        <v>-0.02</v>
      </c>
      <c r="Q283" s="422">
        <f>F283*O283</f>
        <v>-194.02</v>
      </c>
      <c r="R283" s="422">
        <f>K283*P283</f>
        <v>0</v>
      </c>
      <c r="S283" s="151"/>
    </row>
    <row r="284" spans="1:19" s="126" customFormat="1" ht="15.75" customHeight="1">
      <c r="A284" s="124"/>
      <c r="C284" s="293"/>
      <c r="D284" s="224"/>
      <c r="E284" s="431"/>
      <c r="F284" s="422"/>
      <c r="G284" s="422"/>
      <c r="H284" s="422"/>
      <c r="I284" s="423"/>
      <c r="J284" s="422"/>
      <c r="K284" s="422"/>
      <c r="L284" s="422"/>
      <c r="M284" s="422"/>
      <c r="N284" s="423"/>
      <c r="O284" s="422"/>
      <c r="S284" s="151"/>
    </row>
    <row r="285" spans="1:19" s="126" customFormat="1" ht="15.75" customHeight="1">
      <c r="A285" s="124"/>
      <c r="C285" s="124"/>
      <c r="D285" s="224"/>
      <c r="E285" s="431"/>
      <c r="F285" s="422"/>
      <c r="G285" s="422"/>
      <c r="H285" s="422"/>
      <c r="I285" s="423"/>
      <c r="J285" s="422"/>
      <c r="K285" s="422"/>
      <c r="L285" s="422"/>
      <c r="M285" s="422"/>
      <c r="N285" s="423"/>
      <c r="O285" s="422"/>
      <c r="S285" s="151"/>
    </row>
    <row r="286" spans="1:19" s="126" customFormat="1" ht="15.75" customHeight="1">
      <c r="A286" s="124"/>
      <c r="C286" s="124"/>
      <c r="D286" s="224"/>
      <c r="E286" s="431"/>
      <c r="F286" s="422"/>
      <c r="G286" s="422"/>
      <c r="H286" s="422"/>
      <c r="I286" s="423"/>
      <c r="J286" s="422"/>
      <c r="K286" s="422"/>
      <c r="L286" s="422"/>
      <c r="M286" s="422"/>
      <c r="N286" s="423"/>
      <c r="O286" s="422"/>
      <c r="S286" s="151"/>
    </row>
    <row r="287" spans="1:19" s="8" customFormat="1" ht="16.5" customHeight="1">
      <c r="A287" s="379"/>
      <c r="B287" s="384"/>
      <c r="C287" s="432"/>
      <c r="D287" s="412"/>
      <c r="E287" s="413"/>
      <c r="F287" s="414"/>
      <c r="G287" s="414"/>
      <c r="H287" s="416"/>
      <c r="I287" s="433"/>
      <c r="J287" s="414"/>
      <c r="K287" s="416"/>
      <c r="L287" s="414"/>
      <c r="M287" s="414"/>
      <c r="N287" s="433"/>
      <c r="O287" s="414"/>
      <c r="P287" s="384"/>
      <c r="Q287" s="384"/>
      <c r="R287" s="384"/>
      <c r="S287" s="116"/>
    </row>
    <row r="288" spans="1:22" s="117" customFormat="1" ht="16.5" customHeight="1">
      <c r="A288" s="203">
        <v>2</v>
      </c>
      <c r="B288" s="247" t="s">
        <v>388</v>
      </c>
      <c r="C288" s="434" t="s">
        <v>389</v>
      </c>
      <c r="D288" s="435"/>
      <c r="E288" s="297"/>
      <c r="F288" s="132"/>
      <c r="G288" s="436"/>
      <c r="H288" s="132"/>
      <c r="I288" s="141"/>
      <c r="J288" s="353"/>
      <c r="K288" s="141"/>
      <c r="L288" s="437"/>
      <c r="M288" s="132"/>
      <c r="N288" s="141"/>
      <c r="O288" s="338"/>
      <c r="P288" s="132"/>
      <c r="Q288" s="141"/>
      <c r="R288" s="132"/>
      <c r="V288" s="141"/>
    </row>
    <row r="289" spans="1:22" s="8" customFormat="1" ht="16.5" customHeight="1">
      <c r="A289" s="11"/>
      <c r="B289" s="234" t="s">
        <v>595</v>
      </c>
      <c r="C289" s="327">
        <f>SUM(E292:E304)</f>
        <v>4321.7</v>
      </c>
      <c r="D289" s="220" t="s">
        <v>648</v>
      </c>
      <c r="E289" s="355" t="s">
        <v>656</v>
      </c>
      <c r="F289" s="11"/>
      <c r="G289" s="436"/>
      <c r="H289" s="132"/>
      <c r="I289" s="438"/>
      <c r="J289" s="353"/>
      <c r="K289" s="228"/>
      <c r="L289" s="437"/>
      <c r="M289" s="132"/>
      <c r="N289" s="141"/>
      <c r="O289" s="338"/>
      <c r="P289" s="132"/>
      <c r="Q289" s="141"/>
      <c r="R289" s="149"/>
      <c r="V289" s="116"/>
    </row>
    <row r="290" spans="1:22" s="8" customFormat="1" ht="16.5" customHeight="1">
      <c r="A290" s="11"/>
      <c r="B290" s="234" t="s">
        <v>584</v>
      </c>
      <c r="C290" s="339">
        <v>4321.7</v>
      </c>
      <c r="D290" s="220" t="s">
        <v>648</v>
      </c>
      <c r="E290" s="366">
        <f>C290-C289</f>
        <v>0</v>
      </c>
      <c r="F290" s="11"/>
      <c r="G290" s="436"/>
      <c r="H290" s="132"/>
      <c r="I290" s="438"/>
      <c r="J290" s="353"/>
      <c r="K290" s="228"/>
      <c r="L290" s="437"/>
      <c r="M290" s="132"/>
      <c r="N290" s="141"/>
      <c r="O290" s="338"/>
      <c r="P290" s="132"/>
      <c r="Q290" s="141"/>
      <c r="R290" s="149"/>
      <c r="V290" s="116"/>
    </row>
    <row r="291" spans="1:22" s="8" customFormat="1" ht="16.5" customHeight="1">
      <c r="A291" s="11">
        <v>3</v>
      </c>
      <c r="C291" s="339"/>
      <c r="D291" s="220"/>
      <c r="E291" s="366"/>
      <c r="F291" s="11"/>
      <c r="G291" s="436"/>
      <c r="H291" s="132"/>
      <c r="I291" s="438"/>
      <c r="J291" s="353"/>
      <c r="K291" s="228"/>
      <c r="L291" s="437"/>
      <c r="M291" s="132"/>
      <c r="N291" s="141"/>
      <c r="O291" s="338"/>
      <c r="P291" s="132"/>
      <c r="Q291" s="141"/>
      <c r="R291" s="149"/>
      <c r="V291" s="116"/>
    </row>
    <row r="292" spans="1:22" s="8" customFormat="1" ht="16.5" customHeight="1">
      <c r="A292" s="11"/>
      <c r="B292" s="133" t="s">
        <v>390</v>
      </c>
      <c r="C292" s="339"/>
      <c r="D292" s="334">
        <v>1</v>
      </c>
      <c r="E292" s="230">
        <v>378.4</v>
      </c>
      <c r="F292" s="149">
        <f aca="true" t="shared" si="83" ref="F292:F304">E292*D292</f>
        <v>378.4</v>
      </c>
      <c r="G292" s="252">
        <v>21.5</v>
      </c>
      <c r="H292" s="149">
        <f aca="true" t="shared" si="84" ref="H292:H304">G292*2.54</f>
        <v>54.61</v>
      </c>
      <c r="I292" s="116">
        <f aca="true" t="shared" si="85" ref="I292:I304">F292*H292</f>
        <v>20664.424</v>
      </c>
      <c r="J292" s="336">
        <v>0</v>
      </c>
      <c r="K292" s="116">
        <f aca="true" t="shared" si="86" ref="K292:K304">J292*D292</f>
        <v>0</v>
      </c>
      <c r="L292" s="337">
        <f aca="true" t="shared" si="87" ref="L292:L304">G292</f>
        <v>21.5</v>
      </c>
      <c r="M292" s="149">
        <f aca="true" t="shared" si="88" ref="M292:M304">L292*2.54</f>
        <v>54.61</v>
      </c>
      <c r="N292" s="116">
        <f aca="true" t="shared" si="89" ref="N292:N304">K292*M292</f>
        <v>0</v>
      </c>
      <c r="O292" s="338">
        <v>0</v>
      </c>
      <c r="P292" s="149">
        <f aca="true" t="shared" si="90" ref="P292:P304">O292*2.54</f>
        <v>0</v>
      </c>
      <c r="Q292" s="116">
        <f aca="true" t="shared" si="91" ref="Q292:Q304">F292*P292</f>
        <v>0</v>
      </c>
      <c r="R292" s="149">
        <f aca="true" t="shared" si="92" ref="R292:R304">K292*P292</f>
        <v>0</v>
      </c>
      <c r="V292" s="116"/>
    </row>
    <row r="293" spans="1:22" s="8" customFormat="1" ht="16.5" customHeight="1">
      <c r="A293" s="11">
        <v>3</v>
      </c>
      <c r="B293" s="290" t="s">
        <v>391</v>
      </c>
      <c r="C293" s="11">
        <v>49846</v>
      </c>
      <c r="D293" s="334">
        <v>1</v>
      </c>
      <c r="E293" s="230">
        <v>62</v>
      </c>
      <c r="F293" s="149">
        <f t="shared" si="83"/>
        <v>62</v>
      </c>
      <c r="G293" s="335">
        <v>23.507</v>
      </c>
      <c r="H293" s="149">
        <f t="shared" si="84"/>
        <v>59.70778000000001</v>
      </c>
      <c r="I293" s="116">
        <f t="shared" si="85"/>
        <v>3701.8823600000005</v>
      </c>
      <c r="J293" s="336">
        <v>0</v>
      </c>
      <c r="K293" s="116">
        <f t="shared" si="86"/>
        <v>0</v>
      </c>
      <c r="L293" s="337">
        <f t="shared" si="87"/>
        <v>23.507</v>
      </c>
      <c r="M293" s="149">
        <f t="shared" si="88"/>
        <v>59.70778000000001</v>
      </c>
      <c r="N293" s="116">
        <f t="shared" si="89"/>
        <v>0</v>
      </c>
      <c r="O293" s="338">
        <v>0</v>
      </c>
      <c r="P293" s="149">
        <f t="shared" si="90"/>
        <v>0</v>
      </c>
      <c r="Q293" s="116">
        <f t="shared" si="91"/>
        <v>0</v>
      </c>
      <c r="R293" s="149">
        <f t="shared" si="92"/>
        <v>0</v>
      </c>
      <c r="V293" s="116"/>
    </row>
    <row r="294" spans="1:22" s="8" customFormat="1" ht="16.5" customHeight="1">
      <c r="A294" s="11">
        <v>3</v>
      </c>
      <c r="B294" s="290" t="s">
        <v>392</v>
      </c>
      <c r="C294" s="11">
        <v>52379</v>
      </c>
      <c r="D294" s="334">
        <v>1</v>
      </c>
      <c r="E294" s="230">
        <v>61.2</v>
      </c>
      <c r="F294" s="149">
        <f t="shared" si="83"/>
        <v>61.2</v>
      </c>
      <c r="G294" s="335">
        <v>23.507</v>
      </c>
      <c r="H294" s="149">
        <f t="shared" si="84"/>
        <v>59.70778000000001</v>
      </c>
      <c r="I294" s="116">
        <f t="shared" si="85"/>
        <v>3654.1161360000006</v>
      </c>
      <c r="J294" s="336">
        <v>0</v>
      </c>
      <c r="K294" s="116">
        <f t="shared" si="86"/>
        <v>0</v>
      </c>
      <c r="L294" s="337">
        <f t="shared" si="87"/>
        <v>23.507</v>
      </c>
      <c r="M294" s="149">
        <f t="shared" si="88"/>
        <v>59.70778000000001</v>
      </c>
      <c r="N294" s="116">
        <f t="shared" si="89"/>
        <v>0</v>
      </c>
      <c r="O294" s="338">
        <v>0</v>
      </c>
      <c r="P294" s="149">
        <f t="shared" si="90"/>
        <v>0</v>
      </c>
      <c r="Q294" s="116">
        <f t="shared" si="91"/>
        <v>0</v>
      </c>
      <c r="R294" s="149">
        <f t="shared" si="92"/>
        <v>0</v>
      </c>
      <c r="V294" s="116"/>
    </row>
    <row r="295" spans="1:22" s="126" customFormat="1" ht="33.75" customHeight="1">
      <c r="A295" s="124">
        <v>3</v>
      </c>
      <c r="B295" s="289" t="s">
        <v>393</v>
      </c>
      <c r="C295" s="439" t="s">
        <v>394</v>
      </c>
      <c r="D295" s="224">
        <v>1</v>
      </c>
      <c r="E295" s="230">
        <v>265.8</v>
      </c>
      <c r="F295" s="231">
        <f t="shared" si="83"/>
        <v>265.8</v>
      </c>
      <c r="G295" s="252">
        <v>21.5</v>
      </c>
      <c r="H295" s="231">
        <f t="shared" si="84"/>
        <v>54.61</v>
      </c>
      <c r="I295" s="151">
        <f t="shared" si="85"/>
        <v>14515.338</v>
      </c>
      <c r="J295" s="336">
        <v>0</v>
      </c>
      <c r="K295" s="151">
        <f t="shared" si="86"/>
        <v>0</v>
      </c>
      <c r="L295" s="254">
        <f t="shared" si="87"/>
        <v>21.5</v>
      </c>
      <c r="M295" s="231">
        <f t="shared" si="88"/>
        <v>54.61</v>
      </c>
      <c r="N295" s="116">
        <f t="shared" si="89"/>
        <v>0</v>
      </c>
      <c r="O295" s="233">
        <v>0.7</v>
      </c>
      <c r="P295" s="231">
        <f t="shared" si="90"/>
        <v>1.7779999999999998</v>
      </c>
      <c r="Q295" s="151">
        <f t="shared" si="91"/>
        <v>472.59239999999994</v>
      </c>
      <c r="R295" s="231">
        <f t="shared" si="92"/>
        <v>0</v>
      </c>
      <c r="V295" s="151"/>
    </row>
    <row r="296" spans="1:22" s="8" customFormat="1" ht="16.5" customHeight="1">
      <c r="A296" s="11">
        <v>3</v>
      </c>
      <c r="B296" s="133" t="s">
        <v>395</v>
      </c>
      <c r="C296" s="398" t="s">
        <v>396</v>
      </c>
      <c r="D296" s="334">
        <v>1</v>
      </c>
      <c r="E296" s="230">
        <v>4.7</v>
      </c>
      <c r="F296" s="149">
        <f t="shared" si="83"/>
        <v>4.7</v>
      </c>
      <c r="G296" s="335">
        <v>21.73</v>
      </c>
      <c r="H296" s="149">
        <f t="shared" si="84"/>
        <v>55.1942</v>
      </c>
      <c r="I296" s="116">
        <f t="shared" si="85"/>
        <v>259.41274000000004</v>
      </c>
      <c r="J296" s="336">
        <v>0</v>
      </c>
      <c r="K296" s="116">
        <f t="shared" si="86"/>
        <v>0</v>
      </c>
      <c r="L296" s="337">
        <f t="shared" si="87"/>
        <v>21.73</v>
      </c>
      <c r="M296" s="149">
        <f t="shared" si="88"/>
        <v>55.1942</v>
      </c>
      <c r="N296" s="116">
        <f t="shared" si="89"/>
        <v>0</v>
      </c>
      <c r="O296" s="338">
        <v>0.44</v>
      </c>
      <c r="P296" s="149">
        <f t="shared" si="90"/>
        <v>1.1176</v>
      </c>
      <c r="Q296" s="116">
        <f t="shared" si="91"/>
        <v>5.25272</v>
      </c>
      <c r="R296" s="149">
        <f t="shared" si="92"/>
        <v>0</v>
      </c>
      <c r="V296" s="116"/>
    </row>
    <row r="297" spans="1:22" s="8" customFormat="1" ht="16.5" customHeight="1">
      <c r="A297" s="11">
        <v>3</v>
      </c>
      <c r="B297" s="290" t="s">
        <v>397</v>
      </c>
      <c r="C297" s="398" t="s">
        <v>398</v>
      </c>
      <c r="D297" s="334">
        <v>1</v>
      </c>
      <c r="E297" s="230">
        <v>4.5</v>
      </c>
      <c r="F297" s="149">
        <f t="shared" si="83"/>
        <v>4.5</v>
      </c>
      <c r="G297" s="335">
        <v>21.5</v>
      </c>
      <c r="H297" s="149">
        <f t="shared" si="84"/>
        <v>54.61</v>
      </c>
      <c r="I297" s="116">
        <f t="shared" si="85"/>
        <v>245.745</v>
      </c>
      <c r="J297" s="336">
        <v>0</v>
      </c>
      <c r="K297" s="116">
        <f t="shared" si="86"/>
        <v>0</v>
      </c>
      <c r="L297" s="337">
        <f t="shared" si="87"/>
        <v>21.5</v>
      </c>
      <c r="M297" s="149">
        <f t="shared" si="88"/>
        <v>54.61</v>
      </c>
      <c r="N297" s="116">
        <f t="shared" si="89"/>
        <v>0</v>
      </c>
      <c r="O297" s="338">
        <v>0.5</v>
      </c>
      <c r="P297" s="149">
        <f t="shared" si="90"/>
        <v>1.27</v>
      </c>
      <c r="Q297" s="116">
        <f t="shared" si="91"/>
        <v>5.715</v>
      </c>
      <c r="R297" s="149">
        <f t="shared" si="92"/>
        <v>0</v>
      </c>
      <c r="V297" s="116"/>
    </row>
    <row r="298" spans="1:22" s="126" customFormat="1" ht="63" customHeight="1">
      <c r="A298" s="272">
        <v>3</v>
      </c>
      <c r="B298" s="289" t="s">
        <v>295</v>
      </c>
      <c r="C298" s="272">
        <v>52257</v>
      </c>
      <c r="D298" s="224">
        <v>1</v>
      </c>
      <c r="E298" s="230">
        <v>594.3</v>
      </c>
      <c r="F298" s="231">
        <f t="shared" si="83"/>
        <v>594.3</v>
      </c>
      <c r="G298" s="252">
        <v>21.5</v>
      </c>
      <c r="H298" s="231">
        <f t="shared" si="84"/>
        <v>54.61</v>
      </c>
      <c r="I298" s="151">
        <f t="shared" si="85"/>
        <v>32454.722999999998</v>
      </c>
      <c r="J298" s="336">
        <v>0</v>
      </c>
      <c r="K298" s="151">
        <f t="shared" si="86"/>
        <v>0</v>
      </c>
      <c r="L298" s="254">
        <f t="shared" si="87"/>
        <v>21.5</v>
      </c>
      <c r="M298" s="231">
        <f t="shared" si="88"/>
        <v>54.61</v>
      </c>
      <c r="N298" s="116">
        <f t="shared" si="89"/>
        <v>0</v>
      </c>
      <c r="O298" s="233">
        <v>-0.43</v>
      </c>
      <c r="P298" s="231">
        <f t="shared" si="90"/>
        <v>-1.0922</v>
      </c>
      <c r="Q298" s="151">
        <f t="shared" si="91"/>
        <v>-649.09446</v>
      </c>
      <c r="R298" s="231">
        <f t="shared" si="92"/>
        <v>0</v>
      </c>
      <c r="V298" s="151"/>
    </row>
    <row r="299" spans="1:22" s="8" customFormat="1" ht="16.5" customHeight="1">
      <c r="A299" s="11">
        <v>3</v>
      </c>
      <c r="B299" s="290" t="s">
        <v>296</v>
      </c>
      <c r="C299" s="398" t="s">
        <v>398</v>
      </c>
      <c r="D299" s="334">
        <v>1</v>
      </c>
      <c r="E299" s="230">
        <v>4.5</v>
      </c>
      <c r="F299" s="149">
        <f t="shared" si="83"/>
        <v>4.5</v>
      </c>
      <c r="G299" s="335">
        <v>21.48</v>
      </c>
      <c r="H299" s="149">
        <f t="shared" si="84"/>
        <v>54.559200000000004</v>
      </c>
      <c r="I299" s="116">
        <f t="shared" si="85"/>
        <v>245.51640000000003</v>
      </c>
      <c r="J299" s="336">
        <v>0</v>
      </c>
      <c r="K299" s="116">
        <f t="shared" si="86"/>
        <v>0</v>
      </c>
      <c r="L299" s="337">
        <f t="shared" si="87"/>
        <v>21.48</v>
      </c>
      <c r="M299" s="149">
        <f t="shared" si="88"/>
        <v>54.559200000000004</v>
      </c>
      <c r="N299" s="116">
        <f t="shared" si="89"/>
        <v>0</v>
      </c>
      <c r="O299" s="338">
        <v>-0.43</v>
      </c>
      <c r="P299" s="149">
        <f t="shared" si="90"/>
        <v>-1.0922</v>
      </c>
      <c r="Q299" s="116">
        <f t="shared" si="91"/>
        <v>-4.9149</v>
      </c>
      <c r="R299" s="149">
        <f t="shared" si="92"/>
        <v>0</v>
      </c>
      <c r="V299" s="116"/>
    </row>
    <row r="300" spans="1:27" s="345" customFormat="1" ht="49.5" customHeight="1">
      <c r="A300" s="272">
        <v>3</v>
      </c>
      <c r="B300" s="289" t="s">
        <v>297</v>
      </c>
      <c r="C300" s="272">
        <v>52324</v>
      </c>
      <c r="D300" s="224">
        <v>1</v>
      </c>
      <c r="E300" s="230">
        <v>280</v>
      </c>
      <c r="F300" s="149">
        <f t="shared" si="83"/>
        <v>280</v>
      </c>
      <c r="G300" s="252">
        <v>21.6</v>
      </c>
      <c r="H300" s="231">
        <f t="shared" si="84"/>
        <v>54.864000000000004</v>
      </c>
      <c r="I300" s="151">
        <f t="shared" si="85"/>
        <v>15361.920000000002</v>
      </c>
      <c r="J300" s="336">
        <v>0</v>
      </c>
      <c r="K300" s="151">
        <f t="shared" si="86"/>
        <v>0</v>
      </c>
      <c r="L300" s="254">
        <f t="shared" si="87"/>
        <v>21.6</v>
      </c>
      <c r="M300" s="231">
        <f t="shared" si="88"/>
        <v>54.864000000000004</v>
      </c>
      <c r="N300" s="116">
        <f t="shared" si="89"/>
        <v>0</v>
      </c>
      <c r="O300" s="233">
        <v>1.9</v>
      </c>
      <c r="P300" s="231">
        <f t="shared" si="90"/>
        <v>4.826</v>
      </c>
      <c r="Q300" s="151">
        <f t="shared" si="91"/>
        <v>1351.28</v>
      </c>
      <c r="R300" s="231">
        <f t="shared" si="92"/>
        <v>0</v>
      </c>
      <c r="S300" s="126"/>
      <c r="T300" s="126"/>
      <c r="U300" s="126"/>
      <c r="V300" s="346"/>
      <c r="W300" s="126"/>
      <c r="X300" s="126"/>
      <c r="Z300" s="126"/>
      <c r="AA300" s="126"/>
    </row>
    <row r="301" spans="1:22" s="126" customFormat="1" ht="16.5" customHeight="1">
      <c r="A301" s="124">
        <v>3</v>
      </c>
      <c r="B301" s="290" t="s">
        <v>298</v>
      </c>
      <c r="C301" s="398" t="s">
        <v>299</v>
      </c>
      <c r="D301" s="224">
        <v>1</v>
      </c>
      <c r="E301" s="230">
        <v>3.5</v>
      </c>
      <c r="F301" s="149">
        <f t="shared" si="83"/>
        <v>3.5</v>
      </c>
      <c r="G301" s="252">
        <v>20.77</v>
      </c>
      <c r="H301" s="231">
        <f t="shared" si="84"/>
        <v>52.7558</v>
      </c>
      <c r="I301" s="151">
        <f t="shared" si="85"/>
        <v>184.6453</v>
      </c>
      <c r="J301" s="336">
        <v>0</v>
      </c>
      <c r="K301" s="151">
        <f t="shared" si="86"/>
        <v>0</v>
      </c>
      <c r="L301" s="254">
        <f t="shared" si="87"/>
        <v>20.77</v>
      </c>
      <c r="M301" s="231">
        <f t="shared" si="88"/>
        <v>52.7558</v>
      </c>
      <c r="N301" s="116">
        <f t="shared" si="89"/>
        <v>0</v>
      </c>
      <c r="O301" s="233">
        <v>0.29</v>
      </c>
      <c r="P301" s="231">
        <f t="shared" si="90"/>
        <v>0.7365999999999999</v>
      </c>
      <c r="Q301" s="151">
        <f t="shared" si="91"/>
        <v>2.5780999999999996</v>
      </c>
      <c r="R301" s="231">
        <f t="shared" si="92"/>
        <v>0</v>
      </c>
      <c r="V301" s="151"/>
    </row>
    <row r="302" spans="1:22" s="8" customFormat="1" ht="16.5" customHeight="1">
      <c r="A302" s="11">
        <v>3</v>
      </c>
      <c r="B302" s="290" t="s">
        <v>300</v>
      </c>
      <c r="C302" s="398" t="s">
        <v>301</v>
      </c>
      <c r="D302" s="334">
        <v>1</v>
      </c>
      <c r="E302" s="230">
        <v>2584.9</v>
      </c>
      <c r="F302" s="149">
        <f t="shared" si="83"/>
        <v>2584.9</v>
      </c>
      <c r="G302" s="335">
        <v>21.6</v>
      </c>
      <c r="H302" s="149">
        <f t="shared" si="84"/>
        <v>54.864000000000004</v>
      </c>
      <c r="I302" s="116">
        <f t="shared" si="85"/>
        <v>141817.9536</v>
      </c>
      <c r="J302" s="336">
        <v>0</v>
      </c>
      <c r="K302" s="116">
        <f t="shared" si="86"/>
        <v>0</v>
      </c>
      <c r="L302" s="337">
        <f t="shared" si="87"/>
        <v>21.6</v>
      </c>
      <c r="M302" s="149">
        <f t="shared" si="88"/>
        <v>54.864000000000004</v>
      </c>
      <c r="N302" s="116">
        <f t="shared" si="89"/>
        <v>0</v>
      </c>
      <c r="O302" s="338">
        <v>-1.81</v>
      </c>
      <c r="P302" s="149">
        <f t="shared" si="90"/>
        <v>-4.5974</v>
      </c>
      <c r="Q302" s="116">
        <f t="shared" si="91"/>
        <v>-11883.819260000002</v>
      </c>
      <c r="R302" s="149">
        <f t="shared" si="92"/>
        <v>0</v>
      </c>
      <c r="V302" s="116"/>
    </row>
    <row r="303" spans="1:27" s="218" customFormat="1" ht="16.5" customHeight="1">
      <c r="A303" s="121">
        <v>3</v>
      </c>
      <c r="B303" s="290" t="s">
        <v>302</v>
      </c>
      <c r="C303" s="398">
        <v>49847</v>
      </c>
      <c r="D303" s="334">
        <v>1</v>
      </c>
      <c r="E303" s="230">
        <v>72.7</v>
      </c>
      <c r="F303" s="149">
        <f t="shared" si="83"/>
        <v>72.7</v>
      </c>
      <c r="G303" s="335">
        <v>21.6</v>
      </c>
      <c r="H303" s="149">
        <f t="shared" si="84"/>
        <v>54.864000000000004</v>
      </c>
      <c r="I303" s="116">
        <f t="shared" si="85"/>
        <v>3988.6128000000003</v>
      </c>
      <c r="J303" s="336">
        <v>0</v>
      </c>
      <c r="K303" s="116">
        <f t="shared" si="86"/>
        <v>0</v>
      </c>
      <c r="L303" s="337">
        <f t="shared" si="87"/>
        <v>21.6</v>
      </c>
      <c r="M303" s="149">
        <f t="shared" si="88"/>
        <v>54.864000000000004</v>
      </c>
      <c r="N303" s="116">
        <f t="shared" si="89"/>
        <v>0</v>
      </c>
      <c r="O303" s="338">
        <v>-1.64</v>
      </c>
      <c r="P303" s="149">
        <f t="shared" si="90"/>
        <v>-4.1655999999999995</v>
      </c>
      <c r="Q303" s="116">
        <f t="shared" si="91"/>
        <v>-302.83912</v>
      </c>
      <c r="R303" s="149">
        <f t="shared" si="92"/>
        <v>0</v>
      </c>
      <c r="S303" s="8"/>
      <c r="T303" s="8"/>
      <c r="U303" s="8"/>
      <c r="V303" s="219"/>
      <c r="W303" s="8"/>
      <c r="X303" s="8"/>
      <c r="Z303" s="8"/>
      <c r="AA303" s="8"/>
    </row>
    <row r="304" spans="1:22" s="8" customFormat="1" ht="16.5" customHeight="1">
      <c r="A304" s="11">
        <v>3</v>
      </c>
      <c r="B304" s="290" t="s">
        <v>303</v>
      </c>
      <c r="C304" s="398" t="s">
        <v>299</v>
      </c>
      <c r="D304" s="334">
        <v>1</v>
      </c>
      <c r="E304" s="230">
        <v>5.2</v>
      </c>
      <c r="F304" s="149">
        <f t="shared" si="83"/>
        <v>5.2</v>
      </c>
      <c r="G304" s="335">
        <v>21.78</v>
      </c>
      <c r="H304" s="149">
        <f t="shared" si="84"/>
        <v>55.321200000000005</v>
      </c>
      <c r="I304" s="116">
        <f t="shared" si="85"/>
        <v>287.67024000000004</v>
      </c>
      <c r="J304" s="336">
        <v>0</v>
      </c>
      <c r="K304" s="116">
        <f t="shared" si="86"/>
        <v>0</v>
      </c>
      <c r="L304" s="337">
        <f t="shared" si="87"/>
        <v>21.78</v>
      </c>
      <c r="M304" s="149">
        <f t="shared" si="88"/>
        <v>55.321200000000005</v>
      </c>
      <c r="N304" s="116">
        <f t="shared" si="89"/>
        <v>0</v>
      </c>
      <c r="O304" s="338">
        <v>-0.25</v>
      </c>
      <c r="P304" s="149">
        <f t="shared" si="90"/>
        <v>-0.635</v>
      </c>
      <c r="Q304" s="116">
        <f t="shared" si="91"/>
        <v>-3.302</v>
      </c>
      <c r="R304" s="149">
        <f t="shared" si="92"/>
        <v>0</v>
      </c>
      <c r="V304" s="116"/>
    </row>
    <row r="305" spans="1:22" s="8" customFormat="1" ht="16.5" customHeight="1">
      <c r="A305" s="379"/>
      <c r="B305" s="411"/>
      <c r="C305" s="379"/>
      <c r="D305" s="412"/>
      <c r="E305" s="413"/>
      <c r="F305" s="414"/>
      <c r="G305" s="415"/>
      <c r="H305" s="414"/>
      <c r="I305" s="416"/>
      <c r="J305" s="417"/>
      <c r="K305" s="416"/>
      <c r="L305" s="418"/>
      <c r="M305" s="414"/>
      <c r="N305" s="416"/>
      <c r="O305" s="419"/>
      <c r="P305" s="414"/>
      <c r="Q305" s="416"/>
      <c r="R305" s="414"/>
      <c r="V305" s="116"/>
    </row>
    <row r="306" spans="1:22" s="8" customFormat="1" ht="16.5" customHeight="1">
      <c r="A306" s="121">
        <v>2</v>
      </c>
      <c r="B306" s="247" t="s">
        <v>304</v>
      </c>
      <c r="C306" s="228">
        <v>49878</v>
      </c>
      <c r="D306" s="206"/>
      <c r="E306" s="365"/>
      <c r="F306" s="132"/>
      <c r="G306" s="440"/>
      <c r="H306" s="132"/>
      <c r="I306" s="141"/>
      <c r="J306" s="324"/>
      <c r="K306" s="228"/>
      <c r="L306" s="437"/>
      <c r="M306" s="132"/>
      <c r="N306" s="228"/>
      <c r="O306" s="199"/>
      <c r="P306" s="117"/>
      <c r="Q306" s="117"/>
      <c r="R306" s="217"/>
      <c r="V306" s="116"/>
    </row>
    <row r="307" spans="1:22" s="8" customFormat="1" ht="16.5" customHeight="1">
      <c r="A307" s="11"/>
      <c r="B307" s="234" t="s">
        <v>595</v>
      </c>
      <c r="C307" s="327">
        <f>SUM(F309:F316)</f>
        <v>7962.000000000001</v>
      </c>
      <c r="D307" s="220" t="s">
        <v>648</v>
      </c>
      <c r="E307" s="355" t="s">
        <v>656</v>
      </c>
      <c r="F307" s="132"/>
      <c r="G307" s="440"/>
      <c r="H307" s="132"/>
      <c r="J307" s="324"/>
      <c r="L307" s="437"/>
      <c r="M307" s="132"/>
      <c r="N307" s="228"/>
      <c r="O307" s="199"/>
      <c r="P307" s="117"/>
      <c r="Q307" s="117"/>
      <c r="R307" s="217"/>
      <c r="V307" s="116"/>
    </row>
    <row r="308" spans="1:33" s="8" customFormat="1" ht="16.5" customHeight="1">
      <c r="A308" s="11"/>
      <c r="B308" s="234" t="s">
        <v>584</v>
      </c>
      <c r="C308" s="441">
        <v>7962</v>
      </c>
      <c r="D308" s="220" t="s">
        <v>648</v>
      </c>
      <c r="E308" s="366">
        <f>C308-C307</f>
        <v>0</v>
      </c>
      <c r="I308" s="442"/>
      <c r="O308" s="199"/>
      <c r="T308"/>
      <c r="U308"/>
      <c r="V308"/>
      <c r="W308"/>
      <c r="X308"/>
      <c r="Y308"/>
      <c r="Z308"/>
      <c r="AA308"/>
      <c r="AB308"/>
      <c r="AC308"/>
      <c r="AD308"/>
      <c r="AE308"/>
      <c r="AF308"/>
      <c r="AG308"/>
    </row>
    <row r="309" spans="1:22" s="8" customFormat="1" ht="16.5" customHeight="1">
      <c r="A309" s="11">
        <v>3</v>
      </c>
      <c r="B309" s="8" t="s">
        <v>305</v>
      </c>
      <c r="C309" s="11">
        <v>49817</v>
      </c>
      <c r="D309" s="334">
        <v>1</v>
      </c>
      <c r="E309" s="230">
        <v>3598</v>
      </c>
      <c r="F309" s="149">
        <f aca="true" t="shared" si="93" ref="F309:F316">E309*D309</f>
        <v>3598</v>
      </c>
      <c r="G309" s="386">
        <v>43.539</v>
      </c>
      <c r="H309" s="149">
        <f aca="true" t="shared" si="94" ref="H309:H316">G309*2.54</f>
        <v>110.58906</v>
      </c>
      <c r="I309" s="116">
        <f aca="true" t="shared" si="95" ref="I309:I316">F309*H309</f>
        <v>397899.43788000004</v>
      </c>
      <c r="J309" s="329">
        <v>12257.8</v>
      </c>
      <c r="K309" s="149">
        <f aca="true" t="shared" si="96" ref="K309:K316">J309*D309</f>
        <v>12257.8</v>
      </c>
      <c r="L309" s="337">
        <v>43.539</v>
      </c>
      <c r="M309" s="149">
        <f aca="true" t="shared" si="97" ref="M309:M316">L309*2.54</f>
        <v>110.58906</v>
      </c>
      <c r="N309" s="116">
        <f aca="true" t="shared" si="98" ref="N309:N316">K309*M309</f>
        <v>1355578.5796679999</v>
      </c>
      <c r="O309" s="338">
        <v>0</v>
      </c>
      <c r="P309" s="149">
        <f aca="true" t="shared" si="99" ref="P309:P316">O309*2.54</f>
        <v>0</v>
      </c>
      <c r="Q309" s="116">
        <f aca="true" t="shared" si="100" ref="Q309:Q316">F309*P309</f>
        <v>0</v>
      </c>
      <c r="R309" s="149">
        <f aca="true" t="shared" si="101" ref="R309:R316">K309*P309</f>
        <v>0</v>
      </c>
      <c r="V309" s="116"/>
    </row>
    <row r="310" spans="1:22" s="218" customFormat="1" ht="16.5" customHeight="1">
      <c r="A310" s="11">
        <v>3</v>
      </c>
      <c r="B310" s="8" t="s">
        <v>306</v>
      </c>
      <c r="C310" s="11">
        <v>49817</v>
      </c>
      <c r="D310" s="334">
        <v>1</v>
      </c>
      <c r="E310" s="230">
        <v>3605</v>
      </c>
      <c r="F310" s="149">
        <f t="shared" si="93"/>
        <v>3605</v>
      </c>
      <c r="G310" s="386">
        <v>33.671</v>
      </c>
      <c r="H310" s="149">
        <f t="shared" si="94"/>
        <v>85.52434</v>
      </c>
      <c r="I310" s="116">
        <f t="shared" si="95"/>
        <v>308315.24569999997</v>
      </c>
      <c r="J310" s="329">
        <v>12257.8</v>
      </c>
      <c r="K310" s="149">
        <f t="shared" si="96"/>
        <v>12257.8</v>
      </c>
      <c r="L310" s="337">
        <v>33.671</v>
      </c>
      <c r="M310" s="149">
        <f t="shared" si="97"/>
        <v>85.52434</v>
      </c>
      <c r="N310" s="116">
        <f t="shared" si="98"/>
        <v>1048340.2548519999</v>
      </c>
      <c r="O310" s="338">
        <v>0</v>
      </c>
      <c r="P310" s="149">
        <f t="shared" si="99"/>
        <v>0</v>
      </c>
      <c r="Q310" s="116">
        <f t="shared" si="100"/>
        <v>0</v>
      </c>
      <c r="R310" s="149">
        <f t="shared" si="101"/>
        <v>0</v>
      </c>
      <c r="V310" s="219"/>
    </row>
    <row r="311" spans="1:22" s="8" customFormat="1" ht="16.5" customHeight="1">
      <c r="A311" s="11">
        <v>3</v>
      </c>
      <c r="B311" s="8" t="s">
        <v>307</v>
      </c>
      <c r="C311" s="11">
        <v>49818</v>
      </c>
      <c r="D311" s="334">
        <v>1</v>
      </c>
      <c r="E311" s="230">
        <v>682.6</v>
      </c>
      <c r="F311" s="149">
        <f t="shared" si="93"/>
        <v>682.6</v>
      </c>
      <c r="G311" s="386">
        <v>38.935</v>
      </c>
      <c r="H311" s="149">
        <f t="shared" si="94"/>
        <v>98.8949</v>
      </c>
      <c r="I311" s="116">
        <f t="shared" si="95"/>
        <v>67505.65874000001</v>
      </c>
      <c r="J311" s="329">
        <v>436.8</v>
      </c>
      <c r="K311" s="149">
        <f t="shared" si="96"/>
        <v>436.8</v>
      </c>
      <c r="L311" s="337">
        <f aca="true" t="shared" si="102" ref="L311:L316">G311</f>
        <v>38.935</v>
      </c>
      <c r="M311" s="149">
        <f t="shared" si="97"/>
        <v>98.8949</v>
      </c>
      <c r="N311" s="116">
        <f t="shared" si="98"/>
        <v>43197.29232000001</v>
      </c>
      <c r="O311" s="338">
        <v>0</v>
      </c>
      <c r="P311" s="149">
        <f t="shared" si="99"/>
        <v>0</v>
      </c>
      <c r="Q311" s="116">
        <f t="shared" si="100"/>
        <v>0</v>
      </c>
      <c r="R311" s="149">
        <f t="shared" si="101"/>
        <v>0</v>
      </c>
      <c r="V311" s="116"/>
    </row>
    <row r="312" spans="1:22" s="8" customFormat="1" ht="16.5" customHeight="1">
      <c r="A312" s="11">
        <v>3</v>
      </c>
      <c r="B312" s="8" t="s">
        <v>308</v>
      </c>
      <c r="C312" s="398" t="s">
        <v>309</v>
      </c>
      <c r="D312" s="334">
        <v>1</v>
      </c>
      <c r="E312" s="230">
        <v>13.4</v>
      </c>
      <c r="F312" s="149">
        <f t="shared" si="93"/>
        <v>13.4</v>
      </c>
      <c r="G312" s="386">
        <v>38.625</v>
      </c>
      <c r="H312" s="149">
        <f t="shared" si="94"/>
        <v>98.1075</v>
      </c>
      <c r="I312" s="116">
        <f t="shared" si="95"/>
        <v>1314.6405</v>
      </c>
      <c r="J312" s="253">
        <v>0</v>
      </c>
      <c r="K312" s="149">
        <f t="shared" si="96"/>
        <v>0</v>
      </c>
      <c r="L312" s="337">
        <f t="shared" si="102"/>
        <v>38.625</v>
      </c>
      <c r="M312" s="149">
        <f t="shared" si="97"/>
        <v>98.1075</v>
      </c>
      <c r="N312" s="116">
        <f t="shared" si="98"/>
        <v>0</v>
      </c>
      <c r="O312" s="338">
        <v>0</v>
      </c>
      <c r="P312" s="149">
        <f t="shared" si="99"/>
        <v>0</v>
      </c>
      <c r="Q312" s="116">
        <f t="shared" si="100"/>
        <v>0</v>
      </c>
      <c r="R312" s="149">
        <f t="shared" si="101"/>
        <v>0</v>
      </c>
      <c r="V312" s="116"/>
    </row>
    <row r="313" spans="1:22" s="8" customFormat="1" ht="16.5" customHeight="1">
      <c r="A313" s="11">
        <v>3</v>
      </c>
      <c r="B313" s="8" t="s">
        <v>310</v>
      </c>
      <c r="C313" s="443">
        <v>52412</v>
      </c>
      <c r="D313" s="334">
        <v>1</v>
      </c>
      <c r="E313" s="230">
        <v>16.8</v>
      </c>
      <c r="F313" s="149">
        <f t="shared" si="93"/>
        <v>16.8</v>
      </c>
      <c r="G313" s="386">
        <v>38.625</v>
      </c>
      <c r="H313" s="149">
        <f t="shared" si="94"/>
        <v>98.1075</v>
      </c>
      <c r="I313" s="116">
        <f t="shared" si="95"/>
        <v>1648.2060000000001</v>
      </c>
      <c r="J313" s="329">
        <v>7.32</v>
      </c>
      <c r="K313" s="149">
        <f t="shared" si="96"/>
        <v>7.32</v>
      </c>
      <c r="L313" s="337">
        <f t="shared" si="102"/>
        <v>38.625</v>
      </c>
      <c r="M313" s="149">
        <f t="shared" si="97"/>
        <v>98.1075</v>
      </c>
      <c r="N313" s="116">
        <f t="shared" si="98"/>
        <v>718.1469000000001</v>
      </c>
      <c r="O313" s="338">
        <v>0</v>
      </c>
      <c r="P313" s="149">
        <f t="shared" si="99"/>
        <v>0</v>
      </c>
      <c r="Q313" s="116">
        <f t="shared" si="100"/>
        <v>0</v>
      </c>
      <c r="R313" s="149">
        <f t="shared" si="101"/>
        <v>0</v>
      </c>
      <c r="V313" s="116"/>
    </row>
    <row r="314" spans="1:22" s="8" customFormat="1" ht="16.5" customHeight="1">
      <c r="A314" s="11">
        <v>3</v>
      </c>
      <c r="B314" s="8" t="s">
        <v>311</v>
      </c>
      <c r="C314" s="11">
        <v>49883</v>
      </c>
      <c r="D314" s="334">
        <v>1</v>
      </c>
      <c r="E314" s="230">
        <v>20.5</v>
      </c>
      <c r="F314" s="149">
        <f t="shared" si="93"/>
        <v>20.5</v>
      </c>
      <c r="G314" s="386">
        <v>38.625</v>
      </c>
      <c r="H314" s="149">
        <f t="shared" si="94"/>
        <v>98.1075</v>
      </c>
      <c r="I314" s="116">
        <f t="shared" si="95"/>
        <v>2011.2037500000001</v>
      </c>
      <c r="J314" s="336">
        <v>0</v>
      </c>
      <c r="K314" s="116">
        <f t="shared" si="96"/>
        <v>0</v>
      </c>
      <c r="L314" s="337">
        <f t="shared" si="102"/>
        <v>38.625</v>
      </c>
      <c r="M314" s="149">
        <f t="shared" si="97"/>
        <v>98.1075</v>
      </c>
      <c r="N314" s="116">
        <f t="shared" si="98"/>
        <v>0</v>
      </c>
      <c r="O314" s="338">
        <v>3.95</v>
      </c>
      <c r="P314" s="149">
        <f t="shared" si="99"/>
        <v>10.033000000000001</v>
      </c>
      <c r="Q314" s="116">
        <f t="shared" si="100"/>
        <v>205.67650000000003</v>
      </c>
      <c r="R314" s="149">
        <f t="shared" si="101"/>
        <v>0</v>
      </c>
      <c r="V314" s="116"/>
    </row>
    <row r="315" spans="1:22" s="8" customFormat="1" ht="16.5" customHeight="1">
      <c r="A315" s="11">
        <v>3</v>
      </c>
      <c r="B315" s="8" t="s">
        <v>312</v>
      </c>
      <c r="C315" s="443">
        <v>52405</v>
      </c>
      <c r="D315" s="334">
        <v>1</v>
      </c>
      <c r="E315" s="230">
        <v>18.6</v>
      </c>
      <c r="F315" s="149">
        <f t="shared" si="93"/>
        <v>18.6</v>
      </c>
      <c r="G315" s="386">
        <v>38.625</v>
      </c>
      <c r="H315" s="149">
        <f t="shared" si="94"/>
        <v>98.1075</v>
      </c>
      <c r="I315" s="116">
        <f t="shared" si="95"/>
        <v>1824.7995</v>
      </c>
      <c r="J315" s="336">
        <v>0</v>
      </c>
      <c r="K315" s="116">
        <f t="shared" si="96"/>
        <v>0</v>
      </c>
      <c r="L315" s="337">
        <f t="shared" si="102"/>
        <v>38.625</v>
      </c>
      <c r="M315" s="149">
        <f t="shared" si="97"/>
        <v>98.1075</v>
      </c>
      <c r="N315" s="116">
        <f t="shared" si="98"/>
        <v>0</v>
      </c>
      <c r="O315" s="338">
        <v>3.95</v>
      </c>
      <c r="P315" s="149">
        <f t="shared" si="99"/>
        <v>10.033000000000001</v>
      </c>
      <c r="Q315" s="116">
        <f t="shared" si="100"/>
        <v>186.61380000000003</v>
      </c>
      <c r="R315" s="149">
        <f t="shared" si="101"/>
        <v>0</v>
      </c>
      <c r="V315" s="116"/>
    </row>
    <row r="316" spans="1:22" s="8" customFormat="1" ht="16.5" customHeight="1">
      <c r="A316" s="11">
        <v>3</v>
      </c>
      <c r="B316" s="8" t="s">
        <v>313</v>
      </c>
      <c r="C316" s="398" t="s">
        <v>314</v>
      </c>
      <c r="D316" s="334">
        <v>1</v>
      </c>
      <c r="E316" s="230">
        <v>7.1</v>
      </c>
      <c r="F316" s="149">
        <f t="shared" si="93"/>
        <v>7.1</v>
      </c>
      <c r="G316" s="386">
        <v>38.625</v>
      </c>
      <c r="H316" s="149">
        <f t="shared" si="94"/>
        <v>98.1075</v>
      </c>
      <c r="I316" s="116">
        <f t="shared" si="95"/>
        <v>696.5632499999999</v>
      </c>
      <c r="J316" s="336">
        <v>0</v>
      </c>
      <c r="K316" s="116">
        <f t="shared" si="96"/>
        <v>0</v>
      </c>
      <c r="L316" s="337">
        <f t="shared" si="102"/>
        <v>38.625</v>
      </c>
      <c r="M316" s="149">
        <f t="shared" si="97"/>
        <v>98.1075</v>
      </c>
      <c r="N316" s="116">
        <f t="shared" si="98"/>
        <v>0</v>
      </c>
      <c r="O316" s="338">
        <v>3.95</v>
      </c>
      <c r="P316" s="149">
        <f t="shared" si="99"/>
        <v>10.033000000000001</v>
      </c>
      <c r="Q316" s="116">
        <f t="shared" si="100"/>
        <v>71.2343</v>
      </c>
      <c r="R316" s="149">
        <f t="shared" si="101"/>
        <v>0</v>
      </c>
      <c r="V316" s="116"/>
    </row>
    <row r="317" spans="1:22" s="8" customFormat="1" ht="16.5" customHeight="1">
      <c r="A317" s="379"/>
      <c r="B317" s="384"/>
      <c r="C317" s="379"/>
      <c r="D317" s="412"/>
      <c r="E317" s="413"/>
      <c r="F317" s="414"/>
      <c r="G317" s="415"/>
      <c r="H317" s="414"/>
      <c r="I317" s="416"/>
      <c r="J317" s="444"/>
      <c r="K317" s="416"/>
      <c r="L317" s="418"/>
      <c r="M317" s="414"/>
      <c r="N317" s="416"/>
      <c r="O317" s="419"/>
      <c r="P317" s="414"/>
      <c r="Q317" s="416"/>
      <c r="R317" s="414"/>
      <c r="V317" s="116"/>
    </row>
    <row r="318" spans="1:22" s="126" customFormat="1" ht="16.5" customHeight="1">
      <c r="A318" s="272">
        <v>2</v>
      </c>
      <c r="B318" s="351" t="s">
        <v>315</v>
      </c>
      <c r="C318" s="445">
        <v>49877</v>
      </c>
      <c r="D318" s="205"/>
      <c r="E318" s="365"/>
      <c r="F318" s="227"/>
      <c r="G318" s="446"/>
      <c r="H318" s="227"/>
      <c r="I318" s="280"/>
      <c r="J318" s="324"/>
      <c r="K318" s="445"/>
      <c r="L318" s="142"/>
      <c r="M318" s="227"/>
      <c r="N318" s="445"/>
      <c r="O318" s="273"/>
      <c r="P318" s="129"/>
      <c r="Q318" s="129"/>
      <c r="R318" s="278"/>
      <c r="V318" s="151"/>
    </row>
    <row r="319" spans="1:22" s="126" customFormat="1" ht="16.5" customHeight="1">
      <c r="A319" s="124"/>
      <c r="B319" s="364" t="s">
        <v>595</v>
      </c>
      <c r="C319" s="282">
        <f>SUM(F321:F333)</f>
        <v>5033.000000000001</v>
      </c>
      <c r="D319" s="220" t="s">
        <v>648</v>
      </c>
      <c r="E319" s="355" t="s">
        <v>656</v>
      </c>
      <c r="F319" s="227"/>
      <c r="G319" s="446"/>
      <c r="H319" s="227"/>
      <c r="J319" s="324"/>
      <c r="L319" s="142"/>
      <c r="M319" s="227"/>
      <c r="N319" s="445"/>
      <c r="O319" s="273"/>
      <c r="P319" s="129"/>
      <c r="Q319" s="129"/>
      <c r="R319" s="278"/>
      <c r="V319" s="151"/>
    </row>
    <row r="320" spans="1:33" s="126" customFormat="1" ht="16.5" customHeight="1">
      <c r="A320" s="124"/>
      <c r="B320" s="364" t="s">
        <v>584</v>
      </c>
      <c r="C320" s="365">
        <v>5033</v>
      </c>
      <c r="D320" s="387" t="s">
        <v>648</v>
      </c>
      <c r="E320" s="366">
        <f>C320-C319</f>
        <v>0</v>
      </c>
      <c r="I320" s="388"/>
      <c r="O320" s="273"/>
      <c r="T320"/>
      <c r="U320"/>
      <c r="V320"/>
      <c r="W320"/>
      <c r="X320"/>
      <c r="Y320"/>
      <c r="Z320"/>
      <c r="AA320"/>
      <c r="AB320"/>
      <c r="AC320"/>
      <c r="AD320"/>
      <c r="AE320"/>
      <c r="AF320"/>
      <c r="AG320"/>
    </row>
    <row r="321" spans="1:22" s="126" customFormat="1" ht="16.5" customHeight="1">
      <c r="A321" s="124">
        <v>3</v>
      </c>
      <c r="B321" s="126" t="s">
        <v>316</v>
      </c>
      <c r="C321" s="124">
        <v>49830</v>
      </c>
      <c r="D321" s="224">
        <v>1</v>
      </c>
      <c r="E321" s="230">
        <v>1886</v>
      </c>
      <c r="F321" s="231">
        <f aca="true" t="shared" si="103" ref="F321:F327">E321*D321</f>
        <v>1886</v>
      </c>
      <c r="G321" s="252">
        <v>15.566</v>
      </c>
      <c r="H321" s="231">
        <f aca="true" t="shared" si="104" ref="H321:H327">G321*2.54</f>
        <v>39.53764</v>
      </c>
      <c r="I321" s="151">
        <f aca="true" t="shared" si="105" ref="I321:I327">F321*H321</f>
        <v>74567.98904</v>
      </c>
      <c r="J321" s="329">
        <v>5178.3</v>
      </c>
      <c r="K321" s="231">
        <f aca="true" t="shared" si="106" ref="K321:K327">J321*D321</f>
        <v>5178.3</v>
      </c>
      <c r="L321" s="254">
        <v>15.781</v>
      </c>
      <c r="M321" s="231">
        <f aca="true" t="shared" si="107" ref="M321:M327">L321*2.54</f>
        <v>40.08374</v>
      </c>
      <c r="N321" s="116">
        <f aca="true" t="shared" si="108" ref="N321:N327">K321*M321</f>
        <v>207565.630842</v>
      </c>
      <c r="O321" s="233">
        <v>0</v>
      </c>
      <c r="P321" s="231">
        <f aca="true" t="shared" si="109" ref="P321:P327">O321*2.54</f>
        <v>0</v>
      </c>
      <c r="Q321" s="151">
        <f aca="true" t="shared" si="110" ref="Q321:Q327">F321*P321</f>
        <v>0</v>
      </c>
      <c r="R321" s="231">
        <f aca="true" t="shared" si="111" ref="R321:R327">K321*P321</f>
        <v>0</v>
      </c>
      <c r="V321" s="151"/>
    </row>
    <row r="322" spans="1:22" s="447" customFormat="1" ht="16.5" customHeight="1">
      <c r="A322" s="124">
        <v>3</v>
      </c>
      <c r="B322" s="126" t="s">
        <v>317</v>
      </c>
      <c r="C322" s="293" t="s">
        <v>318</v>
      </c>
      <c r="D322" s="224">
        <v>1</v>
      </c>
      <c r="E322" s="230">
        <v>1342.8</v>
      </c>
      <c r="F322" s="231">
        <f t="shared" si="103"/>
        <v>1342.8</v>
      </c>
      <c r="G322" s="252">
        <v>9.015</v>
      </c>
      <c r="H322" s="231">
        <f t="shared" si="104"/>
        <v>22.898100000000003</v>
      </c>
      <c r="I322" s="151">
        <f t="shared" si="105"/>
        <v>30747.568680000004</v>
      </c>
      <c r="J322" s="329">
        <v>656.2</v>
      </c>
      <c r="K322" s="231">
        <f t="shared" si="106"/>
        <v>656.2</v>
      </c>
      <c r="L322" s="254">
        <v>9.015</v>
      </c>
      <c r="M322" s="231">
        <f t="shared" si="107"/>
        <v>22.898100000000003</v>
      </c>
      <c r="N322" s="116">
        <f t="shared" si="108"/>
        <v>15025.733220000004</v>
      </c>
      <c r="O322" s="233">
        <v>0</v>
      </c>
      <c r="P322" s="231">
        <f t="shared" si="109"/>
        <v>0</v>
      </c>
      <c r="Q322" s="151">
        <f t="shared" si="110"/>
        <v>0</v>
      </c>
      <c r="R322" s="231">
        <f t="shared" si="111"/>
        <v>0</v>
      </c>
      <c r="V322" s="448"/>
    </row>
    <row r="323" spans="1:22" s="447" customFormat="1" ht="16.5" customHeight="1">
      <c r="A323" s="124">
        <v>3</v>
      </c>
      <c r="B323" s="126" t="s">
        <v>319</v>
      </c>
      <c r="C323" s="251">
        <v>52413</v>
      </c>
      <c r="D323" s="224">
        <v>1</v>
      </c>
      <c r="E323" s="230">
        <v>3.3</v>
      </c>
      <c r="F323" s="231">
        <f t="shared" si="103"/>
        <v>3.3</v>
      </c>
      <c r="G323" s="252">
        <v>10.5</v>
      </c>
      <c r="H323" s="231">
        <f t="shared" si="104"/>
        <v>26.67</v>
      </c>
      <c r="I323" s="151">
        <f t="shared" si="105"/>
        <v>88.011</v>
      </c>
      <c r="J323" s="336">
        <v>0</v>
      </c>
      <c r="K323" s="151">
        <f t="shared" si="106"/>
        <v>0</v>
      </c>
      <c r="L323" s="254">
        <f>G323</f>
        <v>10.5</v>
      </c>
      <c r="M323" s="231">
        <f t="shared" si="107"/>
        <v>26.67</v>
      </c>
      <c r="N323" s="116">
        <f t="shared" si="108"/>
        <v>0</v>
      </c>
      <c r="O323" s="233">
        <v>0</v>
      </c>
      <c r="P323" s="231">
        <f t="shared" si="109"/>
        <v>0</v>
      </c>
      <c r="Q323" s="151">
        <f t="shared" si="110"/>
        <v>0</v>
      </c>
      <c r="R323" s="231">
        <f t="shared" si="111"/>
        <v>0</v>
      </c>
      <c r="V323" s="448"/>
    </row>
    <row r="324" spans="1:22" s="126" customFormat="1" ht="16.5" customHeight="1">
      <c r="A324" s="124">
        <v>3</v>
      </c>
      <c r="B324" s="290" t="s">
        <v>320</v>
      </c>
      <c r="C324" s="293" t="s">
        <v>190</v>
      </c>
      <c r="D324" s="224">
        <v>1</v>
      </c>
      <c r="E324" s="230">
        <v>15.2</v>
      </c>
      <c r="F324" s="231">
        <f t="shared" si="103"/>
        <v>15.2</v>
      </c>
      <c r="G324" s="252">
        <v>10.7</v>
      </c>
      <c r="H324" s="231">
        <f t="shared" si="104"/>
        <v>27.177999999999997</v>
      </c>
      <c r="I324" s="151">
        <f t="shared" si="105"/>
        <v>413.1055999999999</v>
      </c>
      <c r="J324" s="336">
        <v>0</v>
      </c>
      <c r="K324" s="151">
        <f t="shared" si="106"/>
        <v>0</v>
      </c>
      <c r="L324" s="254">
        <f>G324</f>
        <v>10.7</v>
      </c>
      <c r="M324" s="231">
        <f t="shared" si="107"/>
        <v>27.177999999999997</v>
      </c>
      <c r="N324" s="116">
        <f t="shared" si="108"/>
        <v>0</v>
      </c>
      <c r="O324" s="233">
        <v>0</v>
      </c>
      <c r="P324" s="231">
        <f t="shared" si="109"/>
        <v>0</v>
      </c>
      <c r="Q324" s="151">
        <f t="shared" si="110"/>
        <v>0</v>
      </c>
      <c r="R324" s="231">
        <f t="shared" si="111"/>
        <v>0</v>
      </c>
      <c r="V324" s="124"/>
    </row>
    <row r="325" spans="1:22" s="126" customFormat="1" ht="16.5" customHeight="1">
      <c r="A325" s="124">
        <v>3</v>
      </c>
      <c r="B325" s="126" t="s">
        <v>191</v>
      </c>
      <c r="C325" s="124">
        <v>49829</v>
      </c>
      <c r="D325" s="224">
        <v>1</v>
      </c>
      <c r="E325" s="230">
        <v>1674</v>
      </c>
      <c r="F325" s="231">
        <f t="shared" si="103"/>
        <v>1674</v>
      </c>
      <c r="G325" s="252">
        <v>22.843</v>
      </c>
      <c r="H325" s="231">
        <f t="shared" si="104"/>
        <v>58.02122</v>
      </c>
      <c r="I325" s="151">
        <f t="shared" si="105"/>
        <v>97127.52228</v>
      </c>
      <c r="J325" s="329">
        <v>5240.9</v>
      </c>
      <c r="K325" s="231">
        <f t="shared" si="106"/>
        <v>5240.9</v>
      </c>
      <c r="L325" s="254">
        <v>22.919</v>
      </c>
      <c r="M325" s="231">
        <f t="shared" si="107"/>
        <v>58.21426</v>
      </c>
      <c r="N325" s="116">
        <f t="shared" si="108"/>
        <v>305095.11523399997</v>
      </c>
      <c r="O325" s="233">
        <v>0</v>
      </c>
      <c r="P325" s="231">
        <f t="shared" si="109"/>
        <v>0</v>
      </c>
      <c r="Q325" s="151">
        <f t="shared" si="110"/>
        <v>0</v>
      </c>
      <c r="R325" s="231">
        <f t="shared" si="111"/>
        <v>0</v>
      </c>
      <c r="V325" s="151"/>
    </row>
    <row r="326" spans="1:22" s="126" customFormat="1" ht="16.5" customHeight="1">
      <c r="A326" s="124">
        <v>3</v>
      </c>
      <c r="B326" s="126" t="s">
        <v>192</v>
      </c>
      <c r="C326" s="251">
        <v>52410</v>
      </c>
      <c r="D326" s="224">
        <v>1</v>
      </c>
      <c r="E326" s="230">
        <v>6.7</v>
      </c>
      <c r="F326" s="231">
        <f t="shared" si="103"/>
        <v>6.7</v>
      </c>
      <c r="G326" s="252">
        <v>19.77</v>
      </c>
      <c r="H326" s="231">
        <f t="shared" si="104"/>
        <v>50.2158</v>
      </c>
      <c r="I326" s="151">
        <f t="shared" si="105"/>
        <v>336.44586000000004</v>
      </c>
      <c r="J326" s="329">
        <v>5.76</v>
      </c>
      <c r="K326" s="231">
        <f t="shared" si="106"/>
        <v>5.76</v>
      </c>
      <c r="L326" s="254">
        <f>G326</f>
        <v>19.77</v>
      </c>
      <c r="M326" s="231">
        <f t="shared" si="107"/>
        <v>50.2158</v>
      </c>
      <c r="N326" s="116">
        <f t="shared" si="108"/>
        <v>289.243008</v>
      </c>
      <c r="O326" s="233">
        <v>0</v>
      </c>
      <c r="P326" s="231">
        <f t="shared" si="109"/>
        <v>0</v>
      </c>
      <c r="Q326" s="151">
        <f t="shared" si="110"/>
        <v>0</v>
      </c>
      <c r="R326" s="231">
        <f t="shared" si="111"/>
        <v>0</v>
      </c>
      <c r="V326" s="151"/>
    </row>
    <row r="327" spans="1:22" s="126" customFormat="1" ht="16.5" customHeight="1">
      <c r="A327" s="124">
        <v>3</v>
      </c>
      <c r="B327" s="290" t="s">
        <v>193</v>
      </c>
      <c r="C327" s="251" t="s">
        <v>467</v>
      </c>
      <c r="D327" s="224">
        <v>1</v>
      </c>
      <c r="E327" s="230">
        <v>10.5</v>
      </c>
      <c r="F327" s="231">
        <f t="shared" si="103"/>
        <v>10.5</v>
      </c>
      <c r="G327" s="252">
        <v>19.87</v>
      </c>
      <c r="H327" s="231">
        <f t="shared" si="104"/>
        <v>50.469800000000006</v>
      </c>
      <c r="I327" s="151">
        <f t="shared" si="105"/>
        <v>529.9329</v>
      </c>
      <c r="J327" s="336">
        <v>0</v>
      </c>
      <c r="K327" s="151">
        <f t="shared" si="106"/>
        <v>0</v>
      </c>
      <c r="L327" s="254">
        <f>G327</f>
        <v>19.87</v>
      </c>
      <c r="M327" s="231">
        <f t="shared" si="107"/>
        <v>50.469800000000006</v>
      </c>
      <c r="N327" s="116">
        <f t="shared" si="108"/>
        <v>0</v>
      </c>
      <c r="O327" s="233">
        <v>0</v>
      </c>
      <c r="P327" s="231">
        <f t="shared" si="109"/>
        <v>0</v>
      </c>
      <c r="Q327" s="151">
        <f t="shared" si="110"/>
        <v>0</v>
      </c>
      <c r="R327" s="231">
        <f t="shared" si="111"/>
        <v>0</v>
      </c>
      <c r="V327" s="124"/>
    </row>
    <row r="328" spans="1:22" s="126" customFormat="1" ht="16.5" customHeight="1">
      <c r="A328" s="124"/>
      <c r="B328" s="290" t="s">
        <v>194</v>
      </c>
      <c r="C328" s="251"/>
      <c r="D328" s="224"/>
      <c r="E328" s="230"/>
      <c r="F328" s="231"/>
      <c r="G328" s="252"/>
      <c r="H328" s="231"/>
      <c r="I328" s="151"/>
      <c r="J328" s="336"/>
      <c r="K328" s="151"/>
      <c r="L328" s="254"/>
      <c r="M328" s="231"/>
      <c r="N328" s="116"/>
      <c r="O328" s="233"/>
      <c r="P328" s="231"/>
      <c r="Q328" s="151"/>
      <c r="R328" s="231"/>
      <c r="V328" s="124"/>
    </row>
    <row r="329" spans="1:22" s="126" customFormat="1" ht="16.5" customHeight="1">
      <c r="A329" s="124">
        <v>3</v>
      </c>
      <c r="B329" s="290" t="s">
        <v>195</v>
      </c>
      <c r="C329" s="293">
        <v>49848</v>
      </c>
      <c r="D329" s="224">
        <v>1</v>
      </c>
      <c r="E329" s="230">
        <v>24.8</v>
      </c>
      <c r="F329" s="231">
        <f>E329*D329</f>
        <v>24.8</v>
      </c>
      <c r="G329" s="252">
        <v>12.01</v>
      </c>
      <c r="H329" s="231">
        <f>G329*2.54</f>
        <v>30.5054</v>
      </c>
      <c r="I329" s="151">
        <f>F329*H329</f>
        <v>756.5339200000001</v>
      </c>
      <c r="J329" s="336">
        <v>0</v>
      </c>
      <c r="K329" s="151">
        <f>J329*D329</f>
        <v>0</v>
      </c>
      <c r="L329" s="254">
        <f>G329</f>
        <v>12.01</v>
      </c>
      <c r="M329" s="231">
        <f>L329*2.54</f>
        <v>30.5054</v>
      </c>
      <c r="N329" s="116">
        <f>K329*M329</f>
        <v>0</v>
      </c>
      <c r="O329" s="233">
        <v>-0.35</v>
      </c>
      <c r="P329" s="231">
        <f>O329*2.54</f>
        <v>-0.8889999999999999</v>
      </c>
      <c r="Q329" s="151">
        <f>F329*P329</f>
        <v>-22.047199999999997</v>
      </c>
      <c r="R329" s="231">
        <f>K329*P329</f>
        <v>0</v>
      </c>
      <c r="V329" s="124"/>
    </row>
    <row r="330" spans="1:22" s="345" customFormat="1" ht="16.5" customHeight="1">
      <c r="A330" s="124">
        <v>3</v>
      </c>
      <c r="B330" s="290" t="s">
        <v>196</v>
      </c>
      <c r="C330" s="293" t="s">
        <v>197</v>
      </c>
      <c r="D330" s="224">
        <v>1</v>
      </c>
      <c r="E330" s="230">
        <v>44.5</v>
      </c>
      <c r="F330" s="231">
        <f>E330*D330</f>
        <v>44.5</v>
      </c>
      <c r="G330" s="252">
        <v>12.01</v>
      </c>
      <c r="H330" s="231">
        <f>G330*2.54</f>
        <v>30.5054</v>
      </c>
      <c r="I330" s="151">
        <f>F330*H330</f>
        <v>1357.4903000000002</v>
      </c>
      <c r="J330" s="336">
        <v>0</v>
      </c>
      <c r="K330" s="151">
        <f>J330*D330</f>
        <v>0</v>
      </c>
      <c r="L330" s="254">
        <f>G330</f>
        <v>12.01</v>
      </c>
      <c r="M330" s="231">
        <f>L330*2.54</f>
        <v>30.5054</v>
      </c>
      <c r="N330" s="116">
        <f>K330*M330</f>
        <v>0</v>
      </c>
      <c r="O330" s="233">
        <v>0</v>
      </c>
      <c r="P330" s="231">
        <f>O330*2.54</f>
        <v>0</v>
      </c>
      <c r="Q330" s="151">
        <f>F330*P330</f>
        <v>0</v>
      </c>
      <c r="R330" s="231">
        <f>K330*P330</f>
        <v>0</v>
      </c>
      <c r="V330" s="272"/>
    </row>
    <row r="331" spans="1:22" s="126" customFormat="1" ht="16.5" customHeight="1">
      <c r="A331" s="124">
        <v>3</v>
      </c>
      <c r="B331" s="290" t="s">
        <v>332</v>
      </c>
      <c r="C331" s="293" t="s">
        <v>333</v>
      </c>
      <c r="D331" s="224">
        <v>1</v>
      </c>
      <c r="E331" s="230">
        <v>2.8</v>
      </c>
      <c r="F331" s="231">
        <f>E331*D331</f>
        <v>2.8</v>
      </c>
      <c r="G331" s="252">
        <v>12.01</v>
      </c>
      <c r="H331" s="231">
        <f>G331*2.54</f>
        <v>30.5054</v>
      </c>
      <c r="I331" s="151">
        <f>F331*H331</f>
        <v>85.41512</v>
      </c>
      <c r="J331" s="336">
        <v>0</v>
      </c>
      <c r="K331" s="151">
        <f>J331*D331</f>
        <v>0</v>
      </c>
      <c r="L331" s="254">
        <f>G331</f>
        <v>12.01</v>
      </c>
      <c r="M331" s="231">
        <f>L331*2.54</f>
        <v>30.5054</v>
      </c>
      <c r="N331" s="116">
        <f>K331*M331</f>
        <v>0</v>
      </c>
      <c r="O331" s="233">
        <v>-0.31</v>
      </c>
      <c r="P331" s="231">
        <f>O331*2.54</f>
        <v>-0.7874</v>
      </c>
      <c r="Q331" s="151">
        <f>F331*P331</f>
        <v>-2.20472</v>
      </c>
      <c r="R331" s="231">
        <f>K331*P331</f>
        <v>0</v>
      </c>
      <c r="V331" s="124"/>
    </row>
    <row r="332" spans="1:22" s="126" customFormat="1" ht="16.5" customHeight="1">
      <c r="A332" s="124">
        <v>3</v>
      </c>
      <c r="B332" s="290" t="s">
        <v>334</v>
      </c>
      <c r="C332" s="293" t="s">
        <v>335</v>
      </c>
      <c r="D332" s="224">
        <v>1</v>
      </c>
      <c r="E332" s="230">
        <v>1.3</v>
      </c>
      <c r="F332" s="231">
        <f>E332*D332</f>
        <v>1.3</v>
      </c>
      <c r="G332" s="252">
        <v>10.8</v>
      </c>
      <c r="H332" s="231">
        <f>G332*2.54</f>
        <v>27.432000000000002</v>
      </c>
      <c r="I332" s="151">
        <f>F332*H332</f>
        <v>35.66160000000001</v>
      </c>
      <c r="J332" s="336">
        <v>0</v>
      </c>
      <c r="K332" s="151">
        <f>J332*D332</f>
        <v>0</v>
      </c>
      <c r="L332" s="254">
        <f>G332</f>
        <v>10.8</v>
      </c>
      <c r="M332" s="231">
        <f>L332*2.54</f>
        <v>27.432000000000002</v>
      </c>
      <c r="N332" s="116">
        <f>K332*M332</f>
        <v>0</v>
      </c>
      <c r="O332" s="233">
        <v>-0.81</v>
      </c>
      <c r="P332" s="231">
        <f>O332*2.54</f>
        <v>-2.0574000000000003</v>
      </c>
      <c r="Q332" s="151">
        <f>F332*P332</f>
        <v>-2.6746200000000004</v>
      </c>
      <c r="R332" s="231">
        <f>K332*P332</f>
        <v>0</v>
      </c>
      <c r="V332" s="124"/>
    </row>
    <row r="333" spans="1:22" s="345" customFormat="1" ht="16.5" customHeight="1">
      <c r="A333" s="124">
        <v>3</v>
      </c>
      <c r="B333" s="290" t="s">
        <v>336</v>
      </c>
      <c r="C333" s="251">
        <v>52244</v>
      </c>
      <c r="D333" s="224">
        <v>1</v>
      </c>
      <c r="E333" s="230">
        <v>21.1</v>
      </c>
      <c r="F333" s="231">
        <f>E333*D333</f>
        <v>21.1</v>
      </c>
      <c r="G333" s="252">
        <v>15.33</v>
      </c>
      <c r="H333" s="231">
        <f>G333*2.54</f>
        <v>38.9382</v>
      </c>
      <c r="I333" s="151">
        <f>F333*H333</f>
        <v>821.5960200000001</v>
      </c>
      <c r="J333" s="336">
        <v>0</v>
      </c>
      <c r="K333" s="151">
        <f>J333*D333</f>
        <v>0</v>
      </c>
      <c r="L333" s="254">
        <f>G333</f>
        <v>15.33</v>
      </c>
      <c r="M333" s="231">
        <f>L333*2.54</f>
        <v>38.9382</v>
      </c>
      <c r="N333" s="116">
        <f>K333*M333</f>
        <v>0</v>
      </c>
      <c r="O333" s="233">
        <v>0.38</v>
      </c>
      <c r="P333" s="231">
        <f>O333*2.54</f>
        <v>0.9652000000000001</v>
      </c>
      <c r="Q333" s="151">
        <f>F333*P333</f>
        <v>20.365720000000003</v>
      </c>
      <c r="R333" s="231">
        <f>K333*P333</f>
        <v>0</v>
      </c>
      <c r="V333" s="272"/>
    </row>
    <row r="334" spans="1:18" ht="12">
      <c r="A334" s="3"/>
      <c r="B334" s="449"/>
      <c r="C334" s="3"/>
      <c r="D334" s="3"/>
      <c r="E334" s="450"/>
      <c r="F334" s="3"/>
      <c r="G334" s="450"/>
      <c r="H334" s="3"/>
      <c r="I334" s="3"/>
      <c r="J334" s="450"/>
      <c r="K334" s="3"/>
      <c r="L334" s="450"/>
      <c r="M334" s="449"/>
      <c r="N334" s="3"/>
      <c r="O334" s="3"/>
      <c r="P334" s="3"/>
      <c r="Q334" s="3"/>
      <c r="R334" s="3"/>
    </row>
    <row r="336" ht="12">
      <c r="K336" s="451">
        <f>K321+K322+K325+K326</f>
        <v>11081.16</v>
      </c>
    </row>
    <row r="338" ht="12">
      <c r="J338" s="452"/>
    </row>
  </sheetData>
  <printOptions gridLines="1" horizontalCentered="1"/>
  <pageMargins left="0.5" right="0.5" top="0.6097222222222223" bottom="0.65" header="0.5118055555555555" footer="0"/>
  <pageSetup fitToHeight="0" fitToWidth="1" horizontalDpi="300" verticalDpi="300" orientation="landscape"/>
  <headerFooter alignWithMargins="0">
    <oddFooter>&amp;C&amp;F&amp;RPage &amp;P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66"/>
  <sheetViews>
    <sheetView zoomScale="70" zoomScaleNormal="70" workbookViewId="0" topLeftCell="A1">
      <selection activeCell="A3" sqref="A3"/>
    </sheetView>
  </sheetViews>
  <sheetFormatPr defaultColWidth="8.8515625" defaultRowHeight="12.75"/>
  <cols>
    <col min="1" max="1" width="15.00390625" style="0" customWidth="1"/>
    <col min="2" max="2" width="14.8515625" style="0" customWidth="1"/>
    <col min="3" max="3" width="18.421875" style="0" customWidth="1"/>
    <col min="4" max="4" width="14.00390625" style="0" customWidth="1"/>
    <col min="5" max="5" width="14.8515625" style="0" customWidth="1"/>
    <col min="6" max="6" width="11.140625" style="0" customWidth="1"/>
    <col min="7" max="8" width="11.421875" style="0" customWidth="1"/>
    <col min="9" max="9" width="14.28125" style="0" customWidth="1"/>
    <col min="10" max="10" width="11.421875" style="0" customWidth="1"/>
    <col min="11" max="11" width="13.28125" style="0" customWidth="1"/>
    <col min="12" max="12" width="14.140625" style="0" customWidth="1"/>
  </cols>
  <sheetData>
    <row r="1" spans="1:4" ht="15">
      <c r="A1" s="218" t="s">
        <v>864</v>
      </c>
      <c r="C1" s="6" t="s">
        <v>337</v>
      </c>
      <c r="D1" s="453">
        <v>39941</v>
      </c>
    </row>
    <row r="2" spans="1:2" ht="16.5">
      <c r="A2" s="234" t="str">
        <f>Trim!B2</f>
        <v>MS</v>
      </c>
      <c r="B2" s="454">
        <f>Cal!D1</f>
        <v>500</v>
      </c>
    </row>
    <row r="3" spans="1:3" ht="12">
      <c r="A3" s="455" t="s">
        <v>684</v>
      </c>
      <c r="B3" s="38" t="s">
        <v>338</v>
      </c>
      <c r="C3" s="38"/>
    </row>
    <row r="4" spans="1:6" ht="12">
      <c r="A4" s="455" t="s">
        <v>685</v>
      </c>
      <c r="B4" s="38" t="s">
        <v>339</v>
      </c>
      <c r="C4" s="38"/>
      <c r="D4" s="455" t="s">
        <v>340</v>
      </c>
      <c r="E4" s="456"/>
      <c r="F4" s="456"/>
    </row>
    <row r="5" spans="1:6" ht="12">
      <c r="A5" s="455" t="s">
        <v>686</v>
      </c>
      <c r="B5" s="457">
        <v>250369</v>
      </c>
      <c r="C5" s="457"/>
      <c r="D5" s="610" t="s">
        <v>341</v>
      </c>
      <c r="E5" s="610"/>
      <c r="F5" s="458">
        <v>2.495</v>
      </c>
    </row>
    <row r="6" spans="1:6" ht="12">
      <c r="A6" s="455" t="s">
        <v>687</v>
      </c>
      <c r="B6" s="459">
        <v>39547</v>
      </c>
      <c r="C6" s="460"/>
      <c r="D6" s="610" t="s">
        <v>342</v>
      </c>
      <c r="E6" s="610"/>
      <c r="F6" s="461">
        <v>1.487135887146E-07</v>
      </c>
    </row>
    <row r="7" spans="1:6" ht="12">
      <c r="A7" s="455" t="s">
        <v>688</v>
      </c>
      <c r="B7" s="462">
        <v>128</v>
      </c>
      <c r="C7" s="13" t="s">
        <v>343</v>
      </c>
      <c r="D7" s="610" t="s">
        <v>344</v>
      </c>
      <c r="E7" s="610"/>
      <c r="F7" s="463">
        <v>6724335.07014028</v>
      </c>
    </row>
    <row r="8" spans="1:6" ht="12">
      <c r="A8" s="464" t="s">
        <v>690</v>
      </c>
      <c r="B8" s="462">
        <v>14.7</v>
      </c>
      <c r="C8" s="13" t="s">
        <v>345</v>
      </c>
      <c r="D8" t="s">
        <v>346</v>
      </c>
      <c r="F8" s="465">
        <f>2^24</f>
        <v>16777216</v>
      </c>
    </row>
    <row r="9" spans="1:6" ht="12">
      <c r="A9" s="455" t="s">
        <v>691</v>
      </c>
      <c r="B9" s="462">
        <v>0</v>
      </c>
      <c r="C9" s="13" t="s">
        <v>347</v>
      </c>
      <c r="D9" s="466" t="s">
        <v>348</v>
      </c>
      <c r="F9" s="467" t="s">
        <v>349</v>
      </c>
    </row>
    <row r="10" spans="1:6" ht="12">
      <c r="A10" s="610"/>
      <c r="B10" s="610"/>
      <c r="C10" s="456"/>
      <c r="D10" s="456"/>
      <c r="E10" s="456"/>
      <c r="F10" s="456"/>
    </row>
    <row r="11" spans="1:6" ht="12">
      <c r="A11" s="455" t="s">
        <v>216</v>
      </c>
      <c r="B11" s="468"/>
      <c r="C11" s="455"/>
      <c r="D11" s="455"/>
      <c r="E11" s="469"/>
      <c r="F11" s="455"/>
    </row>
    <row r="12" spans="1:6" ht="12">
      <c r="A12" s="610" t="s">
        <v>217</v>
      </c>
      <c r="B12" s="610"/>
      <c r="C12" s="456"/>
      <c r="D12" s="456"/>
      <c r="E12" s="456"/>
      <c r="F12" s="456"/>
    </row>
    <row r="13" spans="1:6" ht="12">
      <c r="A13" s="611" t="s">
        <v>218</v>
      </c>
      <c r="B13" s="611"/>
      <c r="C13" s="456"/>
      <c r="D13" s="456"/>
      <c r="E13" s="456"/>
      <c r="F13" s="456"/>
    </row>
    <row r="14" spans="1:6" ht="12">
      <c r="A14" s="470" t="s">
        <v>219</v>
      </c>
      <c r="B14" s="615" t="s">
        <v>220</v>
      </c>
      <c r="C14" s="615"/>
      <c r="D14" s="615" t="s">
        <v>221</v>
      </c>
      <c r="E14" s="615"/>
      <c r="F14" s="456"/>
    </row>
    <row r="15" spans="1:6" ht="12">
      <c r="A15" s="470" t="s">
        <v>222</v>
      </c>
      <c r="B15" s="470" t="s">
        <v>223</v>
      </c>
      <c r="C15" s="470" t="s">
        <v>224</v>
      </c>
      <c r="D15" s="470" t="s">
        <v>223</v>
      </c>
      <c r="E15" s="470" t="s">
        <v>224</v>
      </c>
      <c r="F15" s="456"/>
    </row>
    <row r="16" spans="1:6" ht="12">
      <c r="A16" s="471">
        <v>0</v>
      </c>
      <c r="B16" s="472">
        <v>1.042</v>
      </c>
      <c r="C16" s="472">
        <v>1.049</v>
      </c>
      <c r="D16" s="472">
        <v>1.018</v>
      </c>
      <c r="E16" s="472">
        <v>1.015</v>
      </c>
      <c r="F16" s="456"/>
    </row>
    <row r="17" spans="1:6" ht="12">
      <c r="A17" s="471">
        <v>300</v>
      </c>
      <c r="B17" s="472">
        <v>7.058</v>
      </c>
      <c r="C17" s="472">
        <v>7.068</v>
      </c>
      <c r="D17" s="472">
        <v>7.029</v>
      </c>
      <c r="E17" s="472">
        <v>7.031</v>
      </c>
      <c r="F17" s="456"/>
    </row>
    <row r="18" spans="1:6" ht="12">
      <c r="A18" s="471">
        <v>600</v>
      </c>
      <c r="B18" s="472">
        <v>13.093</v>
      </c>
      <c r="C18" s="472">
        <v>13.097</v>
      </c>
      <c r="D18" s="472">
        <v>13.054</v>
      </c>
      <c r="E18" s="472">
        <v>13.064</v>
      </c>
      <c r="F18" s="456"/>
    </row>
    <row r="19" spans="1:6" ht="12">
      <c r="A19" s="471">
        <v>900</v>
      </c>
      <c r="B19" s="472">
        <v>19.11</v>
      </c>
      <c r="C19" s="472">
        <v>19.115</v>
      </c>
      <c r="D19" s="472">
        <v>19.07</v>
      </c>
      <c r="E19" s="472">
        <v>19.07</v>
      </c>
      <c r="F19" s="456"/>
    </row>
    <row r="20" spans="1:6" ht="12">
      <c r="A20" s="471">
        <v>1200</v>
      </c>
      <c r="B20" s="472">
        <v>25.102</v>
      </c>
      <c r="C20" s="472">
        <v>25.113</v>
      </c>
      <c r="D20" s="472">
        <v>25.054</v>
      </c>
      <c r="E20" s="472">
        <v>25.066</v>
      </c>
      <c r="F20" s="456"/>
    </row>
    <row r="21" spans="1:6" ht="12">
      <c r="A21" s="471">
        <v>1500</v>
      </c>
      <c r="B21" s="472">
        <v>31.069</v>
      </c>
      <c r="C21" s="472"/>
      <c r="D21" s="472">
        <v>31.016</v>
      </c>
      <c r="E21" s="472"/>
      <c r="F21" s="456"/>
    </row>
    <row r="22" spans="1:6" ht="12">
      <c r="A22" s="456"/>
      <c r="B22" s="456"/>
      <c r="C22" s="456"/>
      <c r="D22" s="456"/>
      <c r="E22" s="456"/>
      <c r="F22" s="456"/>
    </row>
    <row r="23" spans="1:6" ht="12">
      <c r="A23" s="610" t="s">
        <v>225</v>
      </c>
      <c r="B23" s="610"/>
      <c r="C23" s="610"/>
      <c r="D23" s="610"/>
      <c r="E23" s="610"/>
      <c r="F23" s="610"/>
    </row>
    <row r="24" spans="1:6" ht="12">
      <c r="A24" s="470" t="s">
        <v>222</v>
      </c>
      <c r="B24" s="470" t="s">
        <v>226</v>
      </c>
      <c r="C24" s="473"/>
      <c r="D24" s="470" t="s">
        <v>226</v>
      </c>
      <c r="E24" s="473"/>
      <c r="F24" s="456"/>
    </row>
    <row r="25" spans="1:6" ht="12">
      <c r="A25" s="471">
        <v>0</v>
      </c>
      <c r="B25" s="474">
        <f>((B16+C16)/2)/2</f>
        <v>0.52275</v>
      </c>
      <c r="C25" s="471"/>
      <c r="D25" s="474">
        <f>((D16+E16)/2)/2</f>
        <v>0.50825</v>
      </c>
      <c r="E25" s="473"/>
      <c r="F25" s="456"/>
    </row>
    <row r="26" spans="1:6" ht="12">
      <c r="A26" s="471">
        <v>300</v>
      </c>
      <c r="B26" s="474">
        <f>((B17+C17)/2)/2</f>
        <v>3.5315</v>
      </c>
      <c r="C26" s="471"/>
      <c r="D26" s="474">
        <f>((D17+E17)/2)/2</f>
        <v>3.5149999999999997</v>
      </c>
      <c r="E26" s="473"/>
      <c r="F26" s="456"/>
    </row>
    <row r="27" spans="1:6" ht="12">
      <c r="A27" s="471">
        <v>600</v>
      </c>
      <c r="B27" s="474">
        <f>((B18+C18)/2)/2</f>
        <v>6.547499999999999</v>
      </c>
      <c r="C27" s="471"/>
      <c r="D27" s="474">
        <f>((D18+E18)/2)/2</f>
        <v>6.5295000000000005</v>
      </c>
      <c r="E27" s="473"/>
      <c r="F27" s="456"/>
    </row>
    <row r="28" spans="1:6" ht="12">
      <c r="A28" s="471">
        <v>900</v>
      </c>
      <c r="B28" s="474">
        <f>((B19+C19)/2)/2</f>
        <v>9.556249999999999</v>
      </c>
      <c r="C28" s="471"/>
      <c r="D28" s="474">
        <f>((D19+E19)/2)/2</f>
        <v>9.535</v>
      </c>
      <c r="E28" s="473"/>
      <c r="F28" s="456"/>
    </row>
    <row r="29" spans="1:6" ht="12">
      <c r="A29" s="471">
        <v>1200</v>
      </c>
      <c r="B29" s="474">
        <f>((B20+C20)/2)/2</f>
        <v>12.55375</v>
      </c>
      <c r="C29" s="471"/>
      <c r="D29" s="474">
        <f>((D20+E20)/2)/2</f>
        <v>12.53</v>
      </c>
      <c r="E29" s="473"/>
      <c r="F29" s="456"/>
    </row>
    <row r="30" spans="1:6" ht="12">
      <c r="A30" s="471">
        <v>1500</v>
      </c>
      <c r="B30" s="474">
        <f>(B21)/2</f>
        <v>15.5345</v>
      </c>
      <c r="C30" s="471"/>
      <c r="D30" s="474">
        <f>(D21)/2</f>
        <v>15.508</v>
      </c>
      <c r="E30" s="473"/>
      <c r="F30" s="456"/>
    </row>
    <row r="31" spans="1:6" ht="12">
      <c r="A31" s="456"/>
      <c r="B31" s="456"/>
      <c r="C31" s="456"/>
      <c r="D31" s="456"/>
      <c r="E31" s="456"/>
      <c r="F31" s="456"/>
    </row>
    <row r="32" spans="1:6" ht="12">
      <c r="A32" s="456"/>
      <c r="B32" s="456"/>
      <c r="C32" s="456"/>
      <c r="D32" s="456"/>
      <c r="E32" s="456"/>
      <c r="F32" s="456"/>
    </row>
    <row r="33" spans="1:6" ht="12">
      <c r="A33" s="455" t="s">
        <v>227</v>
      </c>
      <c r="B33" s="456"/>
      <c r="C33" s="455" t="s">
        <v>228</v>
      </c>
      <c r="D33" s="456"/>
      <c r="E33" s="456"/>
      <c r="F33" s="456"/>
    </row>
    <row r="34" spans="1:6" ht="12">
      <c r="A34" s="470" t="s">
        <v>219</v>
      </c>
      <c r="B34" s="470" t="s">
        <v>229</v>
      </c>
      <c r="C34" s="470" t="s">
        <v>219</v>
      </c>
      <c r="D34" s="470" t="s">
        <v>229</v>
      </c>
      <c r="E34" s="456"/>
      <c r="F34" s="456"/>
    </row>
    <row r="35" spans="1:6" ht="12">
      <c r="A35" s="470" t="s">
        <v>222</v>
      </c>
      <c r="B35" s="470" t="s">
        <v>230</v>
      </c>
      <c r="C35" s="470" t="s">
        <v>222</v>
      </c>
      <c r="D35" s="470" t="s">
        <v>230</v>
      </c>
      <c r="E35" s="456"/>
      <c r="F35" s="456"/>
    </row>
    <row r="36" spans="1:6" ht="12">
      <c r="A36" s="471">
        <v>0</v>
      </c>
      <c r="B36" s="475">
        <f aca="true" t="shared" si="0" ref="B36:B41">(B25*$B$7)*$F$7/1000</f>
        <v>449938.70821322646</v>
      </c>
      <c r="C36" s="471">
        <v>0</v>
      </c>
      <c r="D36" s="475">
        <f aca="true" t="shared" si="1" ref="D36:D41">(D25*$B$7)*$F$7/1000</f>
        <v>437458.342323046</v>
      </c>
      <c r="E36" s="456"/>
      <c r="F36" s="456"/>
    </row>
    <row r="37" spans="1:6" ht="12">
      <c r="A37" s="471">
        <v>300</v>
      </c>
      <c r="B37" s="475">
        <f t="shared" si="0"/>
        <v>3039614.630425651</v>
      </c>
      <c r="C37" s="471">
        <v>300</v>
      </c>
      <c r="D37" s="475">
        <f t="shared" si="1"/>
        <v>3025412.8347575143</v>
      </c>
      <c r="E37" s="456"/>
      <c r="F37" s="456"/>
    </row>
    <row r="38" spans="1:6" ht="12">
      <c r="A38" s="471">
        <v>600</v>
      </c>
      <c r="B38" s="475">
        <f t="shared" si="0"/>
        <v>5635530.735583165</v>
      </c>
      <c r="C38" s="471">
        <v>600</v>
      </c>
      <c r="D38" s="475">
        <f t="shared" si="1"/>
        <v>5620037.867581563</v>
      </c>
      <c r="E38" s="456"/>
      <c r="F38" s="456"/>
    </row>
    <row r="39" spans="1:6" ht="12">
      <c r="A39" s="471">
        <v>900</v>
      </c>
      <c r="B39" s="475">
        <f t="shared" si="0"/>
        <v>8225206.657795589</v>
      </c>
      <c r="C39" s="471">
        <v>900</v>
      </c>
      <c r="D39" s="475">
        <f t="shared" si="1"/>
        <v>8206916.466404809</v>
      </c>
      <c r="E39" s="456"/>
      <c r="F39" s="456"/>
    </row>
    <row r="40" spans="1:6" ht="12">
      <c r="A40" s="471">
        <v>1200</v>
      </c>
      <c r="B40" s="475">
        <f t="shared" si="0"/>
        <v>10805199.537507012</v>
      </c>
      <c r="C40" s="471">
        <v>1200</v>
      </c>
      <c r="D40" s="475">
        <f t="shared" si="1"/>
        <v>10784757.558893785</v>
      </c>
      <c r="E40" s="456"/>
      <c r="F40" s="456"/>
    </row>
    <row r="41" spans="1:6" ht="12">
      <c r="A41" s="471">
        <v>1500</v>
      </c>
      <c r="B41" s="475">
        <f t="shared" si="0"/>
        <v>13370775.442828054</v>
      </c>
      <c r="C41" s="471">
        <v>1500</v>
      </c>
      <c r="D41" s="475">
        <f t="shared" si="1"/>
        <v>13347966.498270137</v>
      </c>
      <c r="E41" s="456"/>
      <c r="F41" s="456"/>
    </row>
    <row r="42" spans="1:6" ht="12">
      <c r="A42" s="456"/>
      <c r="B42" s="456"/>
      <c r="C42" s="456"/>
      <c r="D42" s="456"/>
      <c r="E42" s="456"/>
      <c r="F42" s="456"/>
    </row>
    <row r="43" spans="1:6" ht="12">
      <c r="A43" s="613" t="s">
        <v>231</v>
      </c>
      <c r="B43" s="613"/>
      <c r="C43" s="613"/>
      <c r="D43" s="477"/>
      <c r="E43" s="456"/>
      <c r="F43" s="456"/>
    </row>
    <row r="44" spans="1:6" ht="12">
      <c r="A44" s="614" t="s">
        <v>232</v>
      </c>
      <c r="B44" s="614"/>
      <c r="C44" s="479"/>
      <c r="D44" s="480"/>
      <c r="E44" s="456"/>
      <c r="F44" s="456"/>
    </row>
    <row r="45" spans="1:6" ht="12">
      <c r="A45" s="481" t="s">
        <v>227</v>
      </c>
      <c r="B45" s="482"/>
      <c r="C45" s="481" t="s">
        <v>228</v>
      </c>
      <c r="D45" s="483"/>
      <c r="E45" s="456"/>
      <c r="F45" s="456"/>
    </row>
    <row r="46" spans="1:6" ht="12">
      <c r="A46" s="484" t="s">
        <v>233</v>
      </c>
      <c r="B46" s="485">
        <f>SLOPE(A36:A41,B36:B41)</f>
        <v>0.00011603365894891347</v>
      </c>
      <c r="C46" s="484" t="s">
        <v>233</v>
      </c>
      <c r="D46" s="486">
        <f>SLOPE(C36:C41,D36:D41)</f>
        <v>0.00011612751912066796</v>
      </c>
      <c r="E46" s="456"/>
      <c r="F46" s="456"/>
    </row>
    <row r="47" spans="1:6" ht="12">
      <c r="A47" s="487" t="s">
        <v>234</v>
      </c>
      <c r="B47" s="488">
        <f>INTERCEPT(A36:A41,B36:B41)</f>
        <v>-53.074092181515425</v>
      </c>
      <c r="C47" s="487" t="s">
        <v>234</v>
      </c>
      <c r="D47" s="489">
        <f>INTERCEPT(C36:C41,D36:D41)</f>
        <v>-51.71631950192409</v>
      </c>
      <c r="E47" s="456"/>
      <c r="F47" s="456"/>
    </row>
    <row r="48" spans="1:6" ht="12">
      <c r="A48" s="490"/>
      <c r="B48" s="491"/>
      <c r="C48" s="490"/>
      <c r="D48" s="491"/>
      <c r="E48" s="456"/>
      <c r="F48" s="456"/>
    </row>
    <row r="49" spans="1:6" ht="12">
      <c r="A49" s="456"/>
      <c r="B49" s="456"/>
      <c r="C49" s="456"/>
      <c r="D49" s="456"/>
      <c r="E49" s="456"/>
      <c r="F49" s="456"/>
    </row>
    <row r="50" spans="1:6" ht="12">
      <c r="A50" s="616" t="s">
        <v>235</v>
      </c>
      <c r="B50" s="616"/>
      <c r="C50" s="456"/>
      <c r="D50" s="616" t="s">
        <v>236</v>
      </c>
      <c r="E50" s="616"/>
      <c r="F50" s="456"/>
    </row>
    <row r="51" spans="1:6" ht="12">
      <c r="A51" s="49" t="s">
        <v>654</v>
      </c>
      <c r="B51" s="49" t="s">
        <v>237</v>
      </c>
      <c r="C51" s="49" t="s">
        <v>238</v>
      </c>
      <c r="D51" s="49" t="s">
        <v>654</v>
      </c>
      <c r="E51" s="49" t="s">
        <v>237</v>
      </c>
      <c r="F51" s="49" t="s">
        <v>238</v>
      </c>
    </row>
    <row r="52" spans="1:6" ht="12">
      <c r="A52" s="49" t="s">
        <v>222</v>
      </c>
      <c r="B52" s="49" t="s">
        <v>222</v>
      </c>
      <c r="C52" s="49"/>
      <c r="D52" s="49" t="s">
        <v>222</v>
      </c>
      <c r="E52" s="49" t="s">
        <v>222</v>
      </c>
      <c r="F52" s="49"/>
    </row>
    <row r="53" spans="1:6" ht="12">
      <c r="A53" s="473">
        <v>0</v>
      </c>
      <c r="B53" s="492">
        <f aca="true" t="shared" si="2" ref="B53:B58">B36*$B$46+$B$47</f>
        <v>-0.8660575647872193</v>
      </c>
      <c r="C53" s="493"/>
      <c r="D53" s="473">
        <v>0</v>
      </c>
      <c r="E53" s="492">
        <f aca="true" t="shared" si="3" ref="E53:E58">D36*$D$46+$D$47</f>
        <v>-0.9153674893088564</v>
      </c>
      <c r="F53" s="493"/>
    </row>
    <row r="54" spans="1:6" ht="12">
      <c r="A54" s="473">
        <v>300</v>
      </c>
      <c r="B54" s="492">
        <f t="shared" si="2"/>
        <v>299.62351518142225</v>
      </c>
      <c r="C54" s="494">
        <f>(A54-B54)/A54</f>
        <v>0.0012549493952591698</v>
      </c>
      <c r="D54" s="473">
        <v>300</v>
      </c>
      <c r="E54" s="492">
        <f t="shared" si="3"/>
        <v>299.6173673142934</v>
      </c>
      <c r="F54" s="494">
        <f>(D54-E54)/D54</f>
        <v>0.001275442285688655</v>
      </c>
    </row>
    <row r="55" spans="1:6" ht="12">
      <c r="A55" s="473">
        <v>600</v>
      </c>
      <c r="B55" s="492">
        <f t="shared" si="2"/>
        <v>600.8371591872609</v>
      </c>
      <c r="C55" s="494">
        <f>(A55-B55)/A55</f>
        <v>-0.0013952653121015147</v>
      </c>
      <c r="D55" s="473">
        <v>600</v>
      </c>
      <c r="E55" s="492">
        <f t="shared" si="3"/>
        <v>600.9247354245318</v>
      </c>
      <c r="F55" s="494">
        <f>(D55-E55)/D55</f>
        <v>-0.0015412257075530533</v>
      </c>
    </row>
    <row r="56" spans="1:6" ht="12">
      <c r="A56" s="473">
        <v>900</v>
      </c>
      <c r="B56" s="492">
        <f t="shared" si="2"/>
        <v>901.3267319334703</v>
      </c>
      <c r="C56" s="494">
        <f>(A56-B56)/A56</f>
        <v>-0.0014741465927448239</v>
      </c>
      <c r="D56" s="473">
        <v>900</v>
      </c>
      <c r="E56" s="492">
        <f t="shared" si="3"/>
        <v>901.332529372225</v>
      </c>
      <c r="F56" s="494">
        <f>(D56-E56)/D56</f>
        <v>-0.0014805881913611705</v>
      </c>
    </row>
    <row r="57" spans="1:6" ht="12">
      <c r="A57" s="473">
        <v>1200</v>
      </c>
      <c r="B57" s="492">
        <f t="shared" si="2"/>
        <v>1200.6927458285309</v>
      </c>
      <c r="C57" s="494">
        <f>(A57-B57)/A57</f>
        <v>-0.0005772881904423836</v>
      </c>
      <c r="D57" s="473">
        <v>1200</v>
      </c>
      <c r="E57" s="492">
        <f t="shared" si="3"/>
        <v>1200.6908201302822</v>
      </c>
      <c r="F57" s="494">
        <f>(D57-E57)/D57</f>
        <v>-0.0005756834419018257</v>
      </c>
    </row>
    <row r="58" spans="1:6" ht="12">
      <c r="A58" s="473">
        <v>1500</v>
      </c>
      <c r="B58" s="492">
        <f t="shared" si="2"/>
        <v>1498.3859054341024</v>
      </c>
      <c r="C58" s="494">
        <f>(A58-B58)/A58</f>
        <v>0.0010760630439317538</v>
      </c>
      <c r="D58" s="473">
        <v>1500</v>
      </c>
      <c r="E58" s="492">
        <f t="shared" si="3"/>
        <v>1498.3499152479765</v>
      </c>
      <c r="F58" s="494">
        <f>(D58-E58)/D58</f>
        <v>0.0011000565013490208</v>
      </c>
    </row>
    <row r="59" spans="1:6" ht="12">
      <c r="A59" s="456"/>
      <c r="B59" s="456"/>
      <c r="C59" s="456"/>
      <c r="D59" s="456"/>
      <c r="E59" s="456"/>
      <c r="F59" s="456"/>
    </row>
    <row r="60" spans="1:6" ht="12">
      <c r="A60" s="612" t="s">
        <v>239</v>
      </c>
      <c r="B60" s="612"/>
      <c r="C60" s="612"/>
      <c r="D60" s="612"/>
      <c r="E60" s="495"/>
      <c r="F60" s="456"/>
    </row>
    <row r="61" spans="1:6" ht="12">
      <c r="A61" s="613" t="s">
        <v>240</v>
      </c>
      <c r="B61" s="613"/>
      <c r="C61" s="613"/>
      <c r="D61" s="496"/>
      <c r="E61" s="477"/>
      <c r="F61" s="456"/>
    </row>
    <row r="62" spans="1:6" ht="12">
      <c r="A62" s="614" t="s">
        <v>241</v>
      </c>
      <c r="B62" s="614"/>
      <c r="C62" s="497"/>
      <c r="D62" s="498"/>
      <c r="E62" s="499"/>
      <c r="F62" s="456"/>
    </row>
    <row r="63" spans="1:6" ht="12">
      <c r="A63" s="481" t="s">
        <v>227</v>
      </c>
      <c r="B63" s="500"/>
      <c r="C63" s="479"/>
      <c r="D63" s="481" t="s">
        <v>228</v>
      </c>
      <c r="E63" s="483"/>
      <c r="F63" s="456"/>
    </row>
    <row r="64" spans="1:6" ht="12">
      <c r="A64" s="501" t="s">
        <v>233</v>
      </c>
      <c r="B64" s="502">
        <f>B46</f>
        <v>0.00011603365894891347</v>
      </c>
      <c r="C64" s="503"/>
      <c r="D64" s="476" t="s">
        <v>233</v>
      </c>
      <c r="E64" s="504">
        <f>D46</f>
        <v>0.00011612751912066796</v>
      </c>
      <c r="F64" s="456"/>
    </row>
    <row r="65" spans="1:6" ht="12">
      <c r="A65" s="501" t="s">
        <v>234</v>
      </c>
      <c r="B65" s="502">
        <f>B47-B8</f>
        <v>-67.77409218151543</v>
      </c>
      <c r="C65" s="503"/>
      <c r="D65" s="501" t="s">
        <v>234</v>
      </c>
      <c r="E65" s="502">
        <f>E47-B8</f>
        <v>-14.7</v>
      </c>
      <c r="F65" s="456"/>
    </row>
    <row r="66" spans="1:6" ht="12">
      <c r="A66" s="478" t="s">
        <v>785</v>
      </c>
      <c r="B66" s="505">
        <f>B65*0.685</f>
        <v>-46.42525314433807</v>
      </c>
      <c r="C66" s="497"/>
      <c r="D66" s="478" t="s">
        <v>785</v>
      </c>
      <c r="E66" s="505">
        <f>E65*0.685</f>
        <v>-10.0695</v>
      </c>
      <c r="F66" s="456"/>
    </row>
  </sheetData>
  <mergeCells count="16">
    <mergeCell ref="A60:D60"/>
    <mergeCell ref="A61:C61"/>
    <mergeCell ref="A62:B62"/>
    <mergeCell ref="B14:C14"/>
    <mergeCell ref="D14:E14"/>
    <mergeCell ref="A23:F23"/>
    <mergeCell ref="A43:C43"/>
    <mergeCell ref="A44:B44"/>
    <mergeCell ref="A50:B50"/>
    <mergeCell ref="D50:E50"/>
    <mergeCell ref="D5:E5"/>
    <mergeCell ref="D6:E6"/>
    <mergeCell ref="D7:E7"/>
    <mergeCell ref="A10:B10"/>
    <mergeCell ref="A12:B12"/>
    <mergeCell ref="A13:B13"/>
  </mergeCells>
  <printOptions/>
  <pageMargins left="0.7479166666666667" right="0.7479166666666667" top="0.9840277777777777" bottom="0.9840277777777777" header="0.5118055555555555" footer="0.5"/>
  <pageSetup fitToHeight="1" fitToWidth="1" horizontalDpi="300" verticalDpi="300" orientation="portrait"/>
  <headerFooter alignWithMargins="0">
    <oddFooter>&amp;C&amp;F&amp;R&amp;P of &amp;N</oddFooter>
  </headerFooter>
</worksheet>
</file>

<file path=xl/worksheets/sheet4.xml><?xml version="1.0" encoding="utf-8"?>
<worksheet xmlns="http://schemas.openxmlformats.org/spreadsheetml/2006/main" xmlns:r="http://schemas.openxmlformats.org/officeDocument/2006/relationships">
  <dimension ref="A1:R42"/>
  <sheetViews>
    <sheetView zoomScale="125" zoomScaleNormal="125" workbookViewId="0" topLeftCell="A1">
      <selection activeCell="G27" sqref="G27"/>
    </sheetView>
  </sheetViews>
  <sheetFormatPr defaultColWidth="8.8515625" defaultRowHeight="12.75"/>
  <cols>
    <col min="1" max="1" width="20.421875" style="0" customWidth="1"/>
    <col min="2" max="2" width="8.8515625" style="0" customWidth="1"/>
    <col min="3" max="3" width="10.7109375" style="0" customWidth="1"/>
  </cols>
  <sheetData>
    <row r="1" spans="1:7" ht="12">
      <c r="A1" s="455" t="s">
        <v>242</v>
      </c>
      <c r="B1" s="506" t="str">
        <f>Trim!B2</f>
        <v>MS</v>
      </c>
      <c r="C1" s="507">
        <f>Cal!D1</f>
        <v>500</v>
      </c>
      <c r="F1" s="12"/>
      <c r="G1" s="508"/>
    </row>
    <row r="2" spans="2:9" ht="12">
      <c r="B2" s="12" t="s">
        <v>243</v>
      </c>
      <c r="C2" s="92">
        <v>40249</v>
      </c>
      <c r="E2" s="506" t="s">
        <v>244</v>
      </c>
      <c r="F2" s="509" t="s">
        <v>47</v>
      </c>
      <c r="H2" s="604" t="s">
        <v>49</v>
      </c>
      <c r="I2" s="604"/>
    </row>
    <row r="3" spans="2:10" ht="12">
      <c r="B3" s="12" t="s">
        <v>245</v>
      </c>
      <c r="C3" s="510">
        <v>0.4375</v>
      </c>
      <c r="E3" s="506" t="s">
        <v>246</v>
      </c>
      <c r="F3" s="509">
        <v>1.0275</v>
      </c>
      <c r="I3" s="66"/>
      <c r="J3" s="463"/>
    </row>
    <row r="4" spans="2:13" ht="12">
      <c r="B4" s="12" t="s">
        <v>247</v>
      </c>
      <c r="C4" s="511" t="s">
        <v>48</v>
      </c>
      <c r="E4" s="506" t="s">
        <v>248</v>
      </c>
      <c r="F4" s="509">
        <v>250</v>
      </c>
      <c r="G4" s="455" t="s">
        <v>659</v>
      </c>
      <c r="I4" s="463"/>
      <c r="J4" s="463"/>
      <c r="K4" s="509"/>
      <c r="L4" s="512"/>
      <c r="M4" s="512"/>
    </row>
    <row r="5" spans="1:11" ht="12">
      <c r="A5" s="58"/>
      <c r="B5" s="513"/>
      <c r="C5" s="1"/>
      <c r="E5" s="58"/>
      <c r="I5" s="66"/>
      <c r="J5" s="66"/>
      <c r="K5" s="66"/>
    </row>
    <row r="6" spans="1:18" ht="12">
      <c r="A6" s="19"/>
      <c r="B6" s="514" t="s">
        <v>249</v>
      </c>
      <c r="C6" s="514" t="s">
        <v>654</v>
      </c>
      <c r="D6" s="515"/>
      <c r="E6" s="516"/>
      <c r="F6" s="515"/>
      <c r="G6" s="515"/>
      <c r="H6" s="515"/>
      <c r="I6" s="515"/>
      <c r="J6" s="515"/>
      <c r="K6" s="515"/>
      <c r="L6" s="515"/>
      <c r="M6" s="514" t="s">
        <v>654</v>
      </c>
      <c r="R6" s="12"/>
    </row>
    <row r="7" spans="1:18" ht="12">
      <c r="A7" s="507" t="s">
        <v>596</v>
      </c>
      <c r="B7" s="1" t="s">
        <v>578</v>
      </c>
      <c r="C7" s="1" t="s">
        <v>250</v>
      </c>
      <c r="M7" s="1" t="s">
        <v>251</v>
      </c>
      <c r="R7" s="12"/>
    </row>
    <row r="8" spans="1:18" ht="12">
      <c r="A8" s="12" t="s">
        <v>252</v>
      </c>
      <c r="B8" s="517">
        <v>2</v>
      </c>
      <c r="C8" s="27" t="s">
        <v>253</v>
      </c>
      <c r="D8" s="27" t="s">
        <v>254</v>
      </c>
      <c r="E8" s="27" t="s">
        <v>255</v>
      </c>
      <c r="F8" s="27" t="s">
        <v>256</v>
      </c>
      <c r="G8" s="27" t="s">
        <v>257</v>
      </c>
      <c r="H8" s="27" t="s">
        <v>258</v>
      </c>
      <c r="I8" s="27" t="s">
        <v>259</v>
      </c>
      <c r="J8" s="27" t="s">
        <v>260</v>
      </c>
      <c r="K8" s="27" t="s">
        <v>261</v>
      </c>
      <c r="L8" s="27" t="s">
        <v>262</v>
      </c>
      <c r="M8" s="471"/>
      <c r="P8" s="512"/>
      <c r="R8" s="12"/>
    </row>
    <row r="9" spans="1:13" ht="12">
      <c r="A9" s="12" t="s">
        <v>263</v>
      </c>
      <c r="B9" s="518">
        <f>Trim!F65</f>
        <v>246</v>
      </c>
      <c r="C9" s="519">
        <v>246</v>
      </c>
      <c r="D9" s="519"/>
      <c r="E9" s="520"/>
      <c r="F9" s="520"/>
      <c r="G9" s="520"/>
      <c r="H9" s="520"/>
      <c r="I9" s="520"/>
      <c r="J9" s="520"/>
      <c r="K9" s="520"/>
      <c r="L9" s="520"/>
      <c r="M9" s="521">
        <f>SUM(C9:I9)</f>
        <v>246</v>
      </c>
    </row>
    <row r="10" spans="1:13" ht="12">
      <c r="A10" s="12" t="s">
        <v>264</v>
      </c>
      <c r="B10" s="520">
        <v>15.3</v>
      </c>
      <c r="C10" s="522">
        <v>15.3</v>
      </c>
      <c r="D10" s="523"/>
      <c r="E10" s="523"/>
      <c r="F10" s="523"/>
      <c r="G10" s="523"/>
      <c r="H10" s="523"/>
      <c r="I10" s="523"/>
      <c r="J10" s="523"/>
      <c r="K10" s="523"/>
      <c r="L10" s="523"/>
      <c r="M10" s="521">
        <f>SUM(C10:I10)</f>
        <v>15.3</v>
      </c>
    </row>
    <row r="11" spans="1:13" ht="12">
      <c r="A11" s="12"/>
      <c r="B11" s="451"/>
      <c r="C11" s="451"/>
      <c r="D11" s="451"/>
      <c r="E11" s="451"/>
      <c r="F11" s="451"/>
      <c r="G11" s="451"/>
      <c r="H11" s="451"/>
      <c r="I11" s="451"/>
      <c r="J11" s="451"/>
      <c r="K11" s="451"/>
      <c r="L11" s="451"/>
      <c r="M11" s="524"/>
    </row>
    <row r="12" spans="2:13" ht="12">
      <c r="B12" s="1"/>
      <c r="H12" s="525" t="s">
        <v>265</v>
      </c>
      <c r="I12" s="526"/>
      <c r="J12" s="601" t="s">
        <v>266</v>
      </c>
      <c r="K12" s="526"/>
      <c r="L12" s="526"/>
      <c r="M12" s="515"/>
    </row>
    <row r="13" spans="1:13" ht="12">
      <c r="A13" s="12"/>
      <c r="B13" s="451"/>
      <c r="C13" s="451"/>
      <c r="D13" s="524"/>
      <c r="E13" s="451"/>
      <c r="F13" s="451"/>
      <c r="G13" s="451"/>
      <c r="H13" s="451"/>
      <c r="I13" s="451"/>
      <c r="J13" s="451"/>
      <c r="K13" s="451"/>
      <c r="L13" s="451"/>
      <c r="M13" s="524"/>
    </row>
    <row r="14" spans="1:13" ht="27" customHeight="1">
      <c r="A14" s="527" t="s">
        <v>98</v>
      </c>
      <c r="B14" s="528"/>
      <c r="C14" s="529" t="s">
        <v>99</v>
      </c>
      <c r="F14" s="605"/>
      <c r="G14" s="530" t="s">
        <v>100</v>
      </c>
      <c r="K14" s="531" t="s">
        <v>101</v>
      </c>
      <c r="L14" s="19"/>
      <c r="M14" s="532"/>
    </row>
    <row r="15" spans="1:14" ht="12">
      <c r="A15" s="58"/>
      <c r="B15" s="533">
        <f>Trim!F73</f>
        <v>702.4</v>
      </c>
      <c r="C15" s="534"/>
      <c r="D15" s="519"/>
      <c r="E15" s="519"/>
      <c r="F15" s="606">
        <v>169.7</v>
      </c>
      <c r="G15" s="602">
        <v>181.3</v>
      </c>
      <c r="H15" s="603">
        <v>181</v>
      </c>
      <c r="I15" s="603">
        <v>170.4</v>
      </c>
      <c r="J15" s="519"/>
      <c r="K15" s="535"/>
      <c r="L15" s="536"/>
      <c r="M15" s="521">
        <f aca="true" t="shared" si="0" ref="M15:M27">SUM(C15:L15)</f>
        <v>702.4</v>
      </c>
      <c r="N15" s="512"/>
    </row>
    <row r="16" spans="1:17" ht="12">
      <c r="A16" s="12" t="s">
        <v>102</v>
      </c>
      <c r="B16" s="520"/>
      <c r="C16" s="534"/>
      <c r="D16" s="519"/>
      <c r="E16" s="519"/>
      <c r="F16" s="606">
        <v>1</v>
      </c>
      <c r="G16" s="602">
        <v>1</v>
      </c>
      <c r="H16" s="603">
        <v>1</v>
      </c>
      <c r="I16" s="603">
        <v>1</v>
      </c>
      <c r="J16" s="519"/>
      <c r="K16" s="519"/>
      <c r="L16" s="537"/>
      <c r="M16" s="521">
        <f t="shared" si="0"/>
        <v>4</v>
      </c>
      <c r="Q16" s="512"/>
    </row>
    <row r="17" spans="1:13" ht="12">
      <c r="A17" s="12" t="s">
        <v>103</v>
      </c>
      <c r="B17" s="520">
        <f>Trim!E74</f>
        <v>47</v>
      </c>
      <c r="C17" s="534"/>
      <c r="D17" s="519"/>
      <c r="E17" s="519"/>
      <c r="F17" s="519"/>
      <c r="G17" s="519">
        <v>47</v>
      </c>
      <c r="H17" s="519"/>
      <c r="I17" s="519"/>
      <c r="J17" s="519"/>
      <c r="K17" s="519"/>
      <c r="L17" s="537"/>
      <c r="M17" s="521">
        <f t="shared" si="0"/>
        <v>47</v>
      </c>
    </row>
    <row r="18" spans="1:17" ht="12">
      <c r="A18" s="58" t="s">
        <v>104</v>
      </c>
      <c r="B18" s="533">
        <f>Trim!F75</f>
        <v>0</v>
      </c>
      <c r="C18" s="520"/>
      <c r="D18" s="519"/>
      <c r="E18" s="519"/>
      <c r="F18" s="519"/>
      <c r="G18" s="519"/>
      <c r="H18" s="519"/>
      <c r="I18" s="519"/>
      <c r="J18" s="519"/>
      <c r="K18" s="538"/>
      <c r="L18" s="520"/>
      <c r="M18" s="521">
        <f t="shared" si="0"/>
        <v>0</v>
      </c>
      <c r="Q18" s="512"/>
    </row>
    <row r="19" spans="1:13" ht="12">
      <c r="A19" s="12" t="s">
        <v>102</v>
      </c>
      <c r="B19" s="520">
        <f>SUM(C19:L19)</f>
        <v>0</v>
      </c>
      <c r="C19" s="533"/>
      <c r="D19" s="519"/>
      <c r="E19" s="519"/>
      <c r="F19" s="519"/>
      <c r="G19" s="519"/>
      <c r="H19" s="519"/>
      <c r="I19" s="519"/>
      <c r="J19" s="519"/>
      <c r="K19" s="519"/>
      <c r="L19" s="520"/>
      <c r="M19" s="521">
        <f t="shared" si="0"/>
        <v>0</v>
      </c>
    </row>
    <row r="20" spans="1:13" ht="12">
      <c r="A20" s="12" t="s">
        <v>103</v>
      </c>
      <c r="B20" s="520"/>
      <c r="C20" s="520"/>
      <c r="D20" s="519"/>
      <c r="E20" s="519"/>
      <c r="F20" s="519"/>
      <c r="G20" s="519"/>
      <c r="H20" s="519"/>
      <c r="I20" s="519"/>
      <c r="J20" s="519"/>
      <c r="K20" s="519"/>
      <c r="L20" s="520"/>
      <c r="M20" s="521">
        <f t="shared" si="0"/>
        <v>0</v>
      </c>
    </row>
    <row r="21" spans="1:13" ht="12">
      <c r="A21" s="58" t="s">
        <v>105</v>
      </c>
      <c r="B21" s="533">
        <f>Trim!F76</f>
        <v>0</v>
      </c>
      <c r="C21" s="520"/>
      <c r="D21" s="519"/>
      <c r="E21" s="519"/>
      <c r="F21" s="519"/>
      <c r="G21" s="519"/>
      <c r="H21" s="519"/>
      <c r="I21" s="519"/>
      <c r="J21" s="519"/>
      <c r="K21" s="519"/>
      <c r="L21" s="520"/>
      <c r="M21" s="521">
        <f t="shared" si="0"/>
        <v>0</v>
      </c>
    </row>
    <row r="22" spans="1:13" ht="12">
      <c r="A22" s="12" t="s">
        <v>102</v>
      </c>
      <c r="B22" s="520"/>
      <c r="C22" s="520"/>
      <c r="D22" s="539"/>
      <c r="E22" s="520"/>
      <c r="F22" s="519"/>
      <c r="G22" s="519"/>
      <c r="H22" s="519"/>
      <c r="I22" s="66"/>
      <c r="J22" s="519"/>
      <c r="K22" s="519"/>
      <c r="L22" s="520"/>
      <c r="M22" s="521">
        <f t="shared" si="0"/>
        <v>0</v>
      </c>
    </row>
    <row r="23" spans="1:13" ht="12">
      <c r="A23" s="12" t="s">
        <v>103</v>
      </c>
      <c r="B23" s="520">
        <f>Trim!E77</f>
        <v>0</v>
      </c>
      <c r="C23" s="520"/>
      <c r="D23" s="520"/>
      <c r="E23" s="520"/>
      <c r="F23" s="519"/>
      <c r="G23" s="519"/>
      <c r="H23" s="540"/>
      <c r="I23" s="519"/>
      <c r="J23" s="519"/>
      <c r="K23" s="519"/>
      <c r="L23" s="520"/>
      <c r="M23" s="521">
        <f t="shared" si="0"/>
        <v>0</v>
      </c>
    </row>
    <row r="24" spans="1:13" ht="12">
      <c r="A24" s="58" t="s">
        <v>106</v>
      </c>
      <c r="B24" s="533">
        <f>Trim!F78</f>
        <v>0</v>
      </c>
      <c r="C24" s="520"/>
      <c r="D24" s="520"/>
      <c r="E24" s="519"/>
      <c r="F24" s="519"/>
      <c r="G24" s="519"/>
      <c r="H24" s="519"/>
      <c r="I24" s="519"/>
      <c r="J24" s="519"/>
      <c r="K24" s="519"/>
      <c r="L24" s="520"/>
      <c r="M24" s="521">
        <f t="shared" si="0"/>
        <v>0</v>
      </c>
    </row>
    <row r="25" spans="1:13" ht="12">
      <c r="A25" s="12" t="s">
        <v>102</v>
      </c>
      <c r="B25" s="541"/>
      <c r="C25" s="520"/>
      <c r="D25" s="520"/>
      <c r="E25" s="520"/>
      <c r="F25" s="520"/>
      <c r="G25" s="520"/>
      <c r="H25" s="520"/>
      <c r="I25" s="519"/>
      <c r="J25" s="519"/>
      <c r="K25" s="520"/>
      <c r="L25" s="520"/>
      <c r="M25" s="521">
        <f t="shared" si="0"/>
        <v>0</v>
      </c>
    </row>
    <row r="26" spans="1:13" ht="12">
      <c r="A26" s="12" t="s">
        <v>103</v>
      </c>
      <c r="B26" s="520">
        <f>Trim!F76</f>
        <v>0</v>
      </c>
      <c r="C26" s="520"/>
      <c r="D26" s="471"/>
      <c r="E26" s="521"/>
      <c r="F26" s="520"/>
      <c r="G26" s="521"/>
      <c r="H26" s="521"/>
      <c r="I26" s="521"/>
      <c r="J26" s="521"/>
      <c r="K26" s="521"/>
      <c r="L26" s="521"/>
      <c r="M26" s="521">
        <f t="shared" si="0"/>
        <v>0</v>
      </c>
    </row>
    <row r="27" spans="1:13" ht="12">
      <c r="A27" s="14" t="s">
        <v>52</v>
      </c>
      <c r="B27" s="533">
        <f>Trim!F82</f>
        <v>30</v>
      </c>
      <c r="C27" s="520"/>
      <c r="D27" s="520"/>
      <c r="E27" s="521"/>
      <c r="F27" s="520"/>
      <c r="G27" s="538">
        <v>30</v>
      </c>
      <c r="H27" s="521"/>
      <c r="I27" s="521"/>
      <c r="J27" s="521"/>
      <c r="K27" s="521"/>
      <c r="L27" s="521"/>
      <c r="M27" s="521">
        <f t="shared" si="0"/>
        <v>30</v>
      </c>
    </row>
    <row r="28" spans="1:13" s="596" customFormat="1" ht="12">
      <c r="A28" s="14" t="s">
        <v>51</v>
      </c>
      <c r="B28" s="533">
        <f>Trim!F86</f>
        <v>18.8</v>
      </c>
      <c r="C28" s="520"/>
      <c r="D28" s="520"/>
      <c r="E28" s="521"/>
      <c r="F28" s="520"/>
      <c r="G28" s="607">
        <v>18.8</v>
      </c>
      <c r="H28" s="521"/>
      <c r="I28" s="521"/>
      <c r="J28" s="521"/>
      <c r="K28" s="521"/>
      <c r="L28" s="521"/>
      <c r="M28" s="521"/>
    </row>
    <row r="29" spans="1:13" ht="12">
      <c r="A29" s="14" t="s">
        <v>108</v>
      </c>
      <c r="B29" s="520">
        <f>Trim!F81</f>
        <v>4</v>
      </c>
      <c r="C29" s="520"/>
      <c r="D29" s="520"/>
      <c r="E29" s="521"/>
      <c r="F29" s="520"/>
      <c r="H29" s="521"/>
      <c r="I29" s="521"/>
      <c r="J29" s="521"/>
      <c r="K29" s="521"/>
      <c r="L29" s="521"/>
      <c r="M29" s="521">
        <f>M16</f>
        <v>4</v>
      </c>
    </row>
    <row r="30" spans="1:13" ht="12">
      <c r="A30" s="14"/>
      <c r="B30" s="451"/>
      <c r="C30" s="451"/>
      <c r="D30" s="451"/>
      <c r="E30" s="524"/>
      <c r="F30" s="451"/>
      <c r="G30" s="451"/>
      <c r="H30" s="524"/>
      <c r="I30" s="524"/>
      <c r="J30" s="524"/>
      <c r="K30" s="524"/>
      <c r="L30" s="524"/>
      <c r="M30" s="524"/>
    </row>
    <row r="31" spans="2:13" ht="12">
      <c r="B31" s="1"/>
      <c r="H31" s="525" t="s">
        <v>109</v>
      </c>
      <c r="I31" s="526"/>
      <c r="J31" s="526"/>
      <c r="K31" s="526"/>
      <c r="L31" s="526"/>
      <c r="M31" s="515"/>
    </row>
    <row r="32" spans="2:13" ht="12">
      <c r="B32" s="1"/>
      <c r="H32" s="525"/>
      <c r="I32" s="526"/>
      <c r="J32" s="526"/>
      <c r="K32" s="526"/>
      <c r="L32" s="526"/>
      <c r="M32" s="515"/>
    </row>
    <row r="33" spans="1:13" ht="25.5" customHeight="1">
      <c r="A33" s="527" t="s">
        <v>110</v>
      </c>
      <c r="C33" s="519"/>
      <c r="D33" s="519"/>
      <c r="E33" s="521"/>
      <c r="F33" s="519"/>
      <c r="G33" s="27"/>
      <c r="H33" s="471"/>
      <c r="I33" s="471"/>
      <c r="J33" s="471"/>
      <c r="K33" s="521"/>
      <c r="L33" s="521"/>
      <c r="M33" s="521">
        <f>SUM(C33:L33)</f>
        <v>0</v>
      </c>
    </row>
    <row r="34" spans="1:13" ht="12">
      <c r="A34" s="12" t="s">
        <v>102</v>
      </c>
      <c r="C34" s="519"/>
      <c r="D34" s="519"/>
      <c r="E34" s="521"/>
      <c r="F34" s="519"/>
      <c r="G34" s="520"/>
      <c r="H34" s="521"/>
      <c r="I34" s="471"/>
      <c r="J34" s="471"/>
      <c r="K34" s="521"/>
      <c r="L34" s="521"/>
      <c r="M34" s="521">
        <f>SUM(C34:L34)</f>
        <v>0</v>
      </c>
    </row>
    <row r="35" spans="1:14" ht="12">
      <c r="A35" s="12" t="s">
        <v>103</v>
      </c>
      <c r="B35" s="520">
        <f>Trim!E84</f>
        <v>0</v>
      </c>
      <c r="C35" s="1"/>
      <c r="F35" s="66"/>
      <c r="G35" s="520"/>
      <c r="H35" s="66"/>
      <c r="I35" s="66"/>
      <c r="J35" s="66"/>
      <c r="M35" s="521">
        <f>SUM(C35:L35)</f>
        <v>0</v>
      </c>
      <c r="N35" s="512"/>
    </row>
    <row r="36" spans="1:13" ht="12">
      <c r="A36" s="14" t="s">
        <v>107</v>
      </c>
      <c r="B36" s="520">
        <f>Trim!E85</f>
        <v>0</v>
      </c>
      <c r="G36" s="542"/>
      <c r="M36" s="521">
        <f>SUM(C36:L36)</f>
        <v>0</v>
      </c>
    </row>
    <row r="37" spans="1:13" ht="12">
      <c r="A37" t="s">
        <v>111</v>
      </c>
      <c r="K37" t="s">
        <v>273</v>
      </c>
      <c r="M37" s="512">
        <f>SUM(M15:M29)</f>
        <v>787.4</v>
      </c>
    </row>
    <row r="38" ht="12">
      <c r="B38" s="19"/>
    </row>
    <row r="39" spans="2:13" ht="12">
      <c r="B39" s="22"/>
      <c r="C39" s="1"/>
      <c r="L39" s="12" t="s">
        <v>274</v>
      </c>
      <c r="M39" s="512">
        <f>SUM(M9:M10)+M37</f>
        <v>1048.7</v>
      </c>
    </row>
    <row r="40" spans="1:5" ht="12">
      <c r="A40" s="19"/>
      <c r="B40" s="28"/>
      <c r="C40" s="28"/>
      <c r="D40" s="19"/>
      <c r="E40" s="19"/>
    </row>
    <row r="41" spans="2:13" ht="12">
      <c r="B41" s="455" t="s">
        <v>275</v>
      </c>
      <c r="D41" s="1"/>
      <c r="E41" s="1"/>
      <c r="G41" s="543"/>
      <c r="H41" s="544"/>
      <c r="I41" s="545"/>
      <c r="J41" s="546"/>
      <c r="K41" s="546"/>
      <c r="L41" s="546"/>
      <c r="M41" s="547"/>
    </row>
    <row r="42" spans="2:13" ht="12">
      <c r="B42" s="1"/>
      <c r="C42" s="1"/>
      <c r="H42" s="544"/>
      <c r="I42" s="548"/>
      <c r="J42" s="548"/>
      <c r="K42" s="548"/>
      <c r="L42" s="548"/>
      <c r="M42" s="549"/>
    </row>
  </sheetData>
  <printOptions/>
  <pageMargins left="0.75" right="0.25" top="0.98" bottom="0.98" header="0.51" footer="0.51"/>
  <pageSetup horizontalDpi="300" verticalDpi="300" orientation="landscape" scale="80"/>
  <headerFooter alignWithMargins="0">
    <oddFooter>&amp;C&amp;F&amp;R&amp;P of &amp;N</oddFooter>
  </headerFooter>
  <rowBreaks count="1" manualBreakCount="1">
    <brk id="42" max="16383" man="1"/>
  </rowBreaks>
  <colBreaks count="1" manualBreakCount="1">
    <brk id="13" max="65535" man="1"/>
  </colBreaks>
</worksheet>
</file>

<file path=xl/worksheets/sheet5.xml><?xml version="1.0" encoding="utf-8"?>
<worksheet xmlns="http://schemas.openxmlformats.org/spreadsheetml/2006/main" xmlns:r="http://schemas.openxmlformats.org/officeDocument/2006/relationships">
  <dimension ref="A1:I44"/>
  <sheetViews>
    <sheetView workbookViewId="0" topLeftCell="A2">
      <selection activeCell="B33" sqref="B33"/>
    </sheetView>
  </sheetViews>
  <sheetFormatPr defaultColWidth="11.421875" defaultRowHeight="12.75"/>
  <cols>
    <col min="1" max="1" width="17.7109375" style="8" customWidth="1"/>
    <col min="2" max="2" width="8.7109375" style="8" customWidth="1"/>
    <col min="3" max="3" width="12.140625" style="8" customWidth="1"/>
    <col min="4" max="4" width="13.28125" style="8" customWidth="1"/>
    <col min="5" max="16384" width="10.8515625" style="8" customWidth="1"/>
  </cols>
  <sheetData>
    <row r="1" spans="1:7" ht="18.75" customHeight="1">
      <c r="A1" s="218" t="s">
        <v>276</v>
      </c>
      <c r="C1" s="234" t="str">
        <f>Trim!B2</f>
        <v>MS</v>
      </c>
      <c r="D1" s="147">
        <f>Cal!D1</f>
        <v>500</v>
      </c>
      <c r="F1" s="550"/>
      <c r="G1" s="456"/>
    </row>
    <row r="2" spans="1:5" ht="17.25" customHeight="1">
      <c r="A2" s="107"/>
      <c r="B2" s="6" t="s">
        <v>806</v>
      </c>
      <c r="C2" s="7">
        <v>39955</v>
      </c>
      <c r="D2" s="6" t="s">
        <v>808</v>
      </c>
      <c r="E2" s="10">
        <v>0.08333333333333333</v>
      </c>
    </row>
    <row r="3" spans="1:5" ht="12.75" customHeight="1">
      <c r="A3" s="107"/>
      <c r="B3" s="6"/>
      <c r="C3" s="7"/>
      <c r="D3" s="6"/>
      <c r="E3" s="10"/>
    </row>
    <row r="4" spans="2:8" ht="12.75" customHeight="1">
      <c r="B4" s="56" t="s">
        <v>277</v>
      </c>
      <c r="C4" s="456"/>
      <c r="D4" s="513" t="s">
        <v>278</v>
      </c>
      <c r="F4" s="551"/>
      <c r="G4" s="456"/>
      <c r="H4" s="552"/>
    </row>
    <row r="5" spans="1:8" ht="12.75" customHeight="1">
      <c r="A5" s="553" t="s">
        <v>279</v>
      </c>
      <c r="B5" s="456">
        <f>1/B6</f>
        <v>-4.076707325027722</v>
      </c>
      <c r="C5" s="456" t="s">
        <v>280</v>
      </c>
      <c r="D5" s="456" t="s">
        <v>281</v>
      </c>
      <c r="E5" s="456" t="s">
        <v>282</v>
      </c>
      <c r="F5" s="551"/>
      <c r="G5" s="456"/>
      <c r="H5" s="552"/>
    </row>
    <row r="6" spans="1:5" ht="12.75" customHeight="1">
      <c r="A6" s="456"/>
      <c r="B6" s="456">
        <v>-0.245296</v>
      </c>
      <c r="C6" s="456" t="s">
        <v>283</v>
      </c>
      <c r="D6" s="456" t="s">
        <v>284</v>
      </c>
      <c r="E6" s="456"/>
    </row>
    <row r="7" ht="12.75" customHeight="1"/>
    <row r="8" s="456" customFormat="1" ht="12.75" customHeight="1">
      <c r="A8" s="554" t="s">
        <v>285</v>
      </c>
    </row>
    <row r="9" spans="1:7" s="456" customFormat="1" ht="12.75" customHeight="1">
      <c r="A9" s="456" t="s">
        <v>286</v>
      </c>
      <c r="B9" s="555">
        <v>22.56</v>
      </c>
      <c r="C9" s="456" t="s">
        <v>287</v>
      </c>
      <c r="D9" t="s">
        <v>288</v>
      </c>
      <c r="F9" s="556">
        <v>40247</v>
      </c>
      <c r="G9" t="s">
        <v>289</v>
      </c>
    </row>
    <row r="10" spans="1:4" s="456" customFormat="1" ht="12.75" customHeight="1">
      <c r="A10" s="456" t="s">
        <v>290</v>
      </c>
      <c r="B10" s="555">
        <v>34.825</v>
      </c>
      <c r="C10" s="456" t="s">
        <v>291</v>
      </c>
      <c r="D10" t="s">
        <v>288</v>
      </c>
    </row>
    <row r="11" spans="1:5" s="456" customFormat="1" ht="12.75" customHeight="1">
      <c r="A11" s="456" t="s">
        <v>292</v>
      </c>
      <c r="B11" s="557">
        <f>B10*D11</f>
        <v>33.66035182679297</v>
      </c>
      <c r="C11" s="456" t="s">
        <v>291</v>
      </c>
      <c r="D11" s="456">
        <f>35/36.211</f>
        <v>0.9665571235260004</v>
      </c>
      <c r="E11" s="456" t="s">
        <v>293</v>
      </c>
    </row>
    <row r="12" spans="1:4" s="456" customFormat="1" ht="12.75" customHeight="1">
      <c r="A12" s="456" t="s">
        <v>294</v>
      </c>
      <c r="B12" s="558">
        <v>1.023057</v>
      </c>
      <c r="C12" s="456" t="s">
        <v>144</v>
      </c>
      <c r="D12" s="456" t="s">
        <v>145</v>
      </c>
    </row>
    <row r="13" spans="1:4" s="456" customFormat="1" ht="12.75" customHeight="1">
      <c r="A13" s="456" t="s">
        <v>146</v>
      </c>
      <c r="B13" s="509">
        <v>51125</v>
      </c>
      <c r="C13" s="456" t="s">
        <v>578</v>
      </c>
      <c r="D13" s="456" t="s">
        <v>147</v>
      </c>
    </row>
    <row r="14" spans="1:4" s="456" customFormat="1" ht="12.75" customHeight="1">
      <c r="A14" s="456" t="s">
        <v>148</v>
      </c>
      <c r="B14" s="559">
        <f>B13/B12</f>
        <v>49972.77766536957</v>
      </c>
      <c r="C14" s="456" t="s">
        <v>659</v>
      </c>
      <c r="D14" s="456" t="s">
        <v>149</v>
      </c>
    </row>
    <row r="15" spans="1:4" s="456" customFormat="1" ht="12.75" customHeight="1">
      <c r="A15" s="456" t="s">
        <v>150</v>
      </c>
      <c r="C15" s="509">
        <v>20</v>
      </c>
      <c r="D15" s="456" t="s">
        <v>659</v>
      </c>
    </row>
    <row r="16" spans="1:4" s="456" customFormat="1" ht="12.75" customHeight="1">
      <c r="A16" s="456" t="s">
        <v>151</v>
      </c>
      <c r="C16" s="509">
        <v>3658</v>
      </c>
      <c r="D16" s="456" t="s">
        <v>152</v>
      </c>
    </row>
    <row r="17" spans="1:4" s="456" customFormat="1" ht="12.75" customHeight="1">
      <c r="A17" s="559" t="s">
        <v>153</v>
      </c>
      <c r="B17" s="12" t="s">
        <v>154</v>
      </c>
      <c r="C17" s="12" t="s">
        <v>155</v>
      </c>
      <c r="D17" s="456" t="s">
        <v>156</v>
      </c>
    </row>
    <row r="18" spans="1:5" s="456" customFormat="1" ht="12.75" customHeight="1">
      <c r="A18" s="456" t="s">
        <v>157</v>
      </c>
      <c r="B18" s="559">
        <f>Cal!C42</f>
        <v>475</v>
      </c>
      <c r="C18" s="559">
        <f>(B18-B19)*B6</f>
        <v>760.777168</v>
      </c>
      <c r="D18" s="559">
        <f>B14+C18</f>
        <v>50733.55483336957</v>
      </c>
      <c r="E18" s="456" t="s">
        <v>158</v>
      </c>
    </row>
    <row r="19" spans="1:5" s="456" customFormat="1" ht="12.75" customHeight="1">
      <c r="A19" s="456" t="s">
        <v>159</v>
      </c>
      <c r="B19" s="559">
        <f>C16+(C15*B5)</f>
        <v>3576.4658534994455</v>
      </c>
      <c r="C19" s="12" t="s">
        <v>160</v>
      </c>
      <c r="D19" s="559">
        <f>B14</f>
        <v>49972.77766536957</v>
      </c>
      <c r="E19" s="456" t="s">
        <v>659</v>
      </c>
    </row>
    <row r="20" spans="1:5" s="456" customFormat="1" ht="12.75" customHeight="1">
      <c r="A20" s="456" t="s">
        <v>161</v>
      </c>
      <c r="B20" s="559">
        <f>Cal!C43</f>
        <v>3942</v>
      </c>
      <c r="C20" s="559">
        <f>(B20-B19)*B6</f>
        <v>-89.66406400000001</v>
      </c>
      <c r="D20" s="559">
        <f>B14+C20</f>
        <v>49883.11360136957</v>
      </c>
      <c r="E20" s="456" t="s">
        <v>162</v>
      </c>
    </row>
    <row r="21" spans="1:3" s="456" customFormat="1" ht="12.75" customHeight="1">
      <c r="A21" s="456" t="s">
        <v>163</v>
      </c>
      <c r="C21" s="560">
        <f>C18-C20</f>
        <v>850.441232</v>
      </c>
    </row>
    <row r="22" s="456" customFormat="1" ht="12.75" customHeight="1">
      <c r="C22" s="560"/>
    </row>
    <row r="23" s="456" customFormat="1" ht="12.75" customHeight="1">
      <c r="C23" s="560"/>
    </row>
    <row r="24" spans="1:5" s="456" customFormat="1" ht="12.75" customHeight="1">
      <c r="A24"/>
      <c r="B24"/>
      <c r="C24"/>
      <c r="D24"/>
      <c r="E24"/>
    </row>
    <row r="25" spans="1:9" s="456" customFormat="1" ht="12.75" customHeight="1">
      <c r="A25" s="554" t="s">
        <v>164</v>
      </c>
      <c r="F25"/>
      <c r="G25"/>
      <c r="H25"/>
      <c r="I25"/>
    </row>
    <row r="26" spans="1:9" s="456" customFormat="1" ht="12.75" customHeight="1">
      <c r="A26" s="456" t="s">
        <v>165</v>
      </c>
      <c r="B26" s="598">
        <v>51230</v>
      </c>
      <c r="C26" s="456" t="s">
        <v>648</v>
      </c>
      <c r="D26" s="561" t="s">
        <v>166</v>
      </c>
      <c r="H26"/>
      <c r="I26"/>
    </row>
    <row r="27" spans="1:9" s="456" customFormat="1" ht="12.75" customHeight="1">
      <c r="A27" s="456" t="s">
        <v>167</v>
      </c>
      <c r="B27" s="562">
        <v>50815</v>
      </c>
      <c r="C27" s="456" t="s">
        <v>659</v>
      </c>
      <c r="D27" s="561" t="s">
        <v>45</v>
      </c>
      <c r="H27"/>
      <c r="I27"/>
    </row>
    <row r="28" spans="1:9" s="456" customFormat="1" ht="12.75" customHeight="1">
      <c r="A28" s="456" t="s">
        <v>168</v>
      </c>
      <c r="B28" s="559">
        <f>B27-C21</f>
        <v>49964.558768</v>
      </c>
      <c r="C28" s="456" t="s">
        <v>659</v>
      </c>
      <c r="D28" s="563"/>
      <c r="H28"/>
      <c r="I28"/>
    </row>
    <row r="29" spans="1:9" s="456" customFormat="1" ht="12.75" customHeight="1">
      <c r="A29" s="456" t="s">
        <v>169</v>
      </c>
      <c r="B29" s="564">
        <v>1.0275</v>
      </c>
      <c r="C29" s="456" t="s">
        <v>170</v>
      </c>
      <c r="D29" s="509" t="s">
        <v>46</v>
      </c>
      <c r="F29" s="565"/>
      <c r="H29"/>
      <c r="I29"/>
    </row>
    <row r="30" spans="1:9" s="456" customFormat="1" ht="12.75" customHeight="1">
      <c r="A30" s="456" t="s">
        <v>171</v>
      </c>
      <c r="B30" s="562">
        <v>265.01512246269675</v>
      </c>
      <c r="C30" s="456" t="s">
        <v>659</v>
      </c>
      <c r="D30" s="509" t="s">
        <v>172</v>
      </c>
      <c r="H30"/>
      <c r="I30"/>
    </row>
    <row r="31" spans="1:9" s="456" customFormat="1" ht="12.75" customHeight="1">
      <c r="A31" s="456" t="s">
        <v>173</v>
      </c>
      <c r="B31" s="559">
        <f>B28+B30</f>
        <v>50229.5738904627</v>
      </c>
      <c r="C31" s="456" t="s">
        <v>659</v>
      </c>
      <c r="D31" s="456" t="s">
        <v>174</v>
      </c>
      <c r="E31" s="456">
        <v>11.296</v>
      </c>
      <c r="F31" s="456" t="s">
        <v>664</v>
      </c>
      <c r="H31"/>
      <c r="I31"/>
    </row>
    <row r="32" spans="1:7" s="456" customFormat="1" ht="12.75" customHeight="1">
      <c r="A32" s="455" t="s">
        <v>175</v>
      </c>
      <c r="B32" s="566">
        <f>(B29*B31-B26)/(1-(B29/11.296))</f>
        <v>419.0000000000033</v>
      </c>
      <c r="C32" s="456" t="s">
        <v>648</v>
      </c>
      <c r="D32" s="456" t="s">
        <v>176</v>
      </c>
      <c r="E32" s="559">
        <f>B32/E31</f>
        <v>37.0927762039663</v>
      </c>
      <c r="F32" s="456" t="s">
        <v>659</v>
      </c>
      <c r="G32" s="8"/>
    </row>
    <row r="33" spans="1:7" s="456" customFormat="1" ht="12.75" customHeight="1">
      <c r="A33" s="456" t="s">
        <v>177</v>
      </c>
      <c r="B33" s="559">
        <f>B26+B32</f>
        <v>51649</v>
      </c>
      <c r="C33" s="456" t="s">
        <v>648</v>
      </c>
      <c r="G33" s="8"/>
    </row>
    <row r="34" spans="1:3" s="456" customFormat="1" ht="12.75" customHeight="1">
      <c r="A34" s="456" t="s">
        <v>178</v>
      </c>
      <c r="B34" s="559">
        <f>B27+B32/E31</f>
        <v>50852.092776203965</v>
      </c>
      <c r="C34" s="456" t="s">
        <v>659</v>
      </c>
    </row>
    <row r="35" s="456" customFormat="1" ht="12.75" customHeight="1"/>
    <row r="36" spans="1:5" s="456" customFormat="1" ht="12.75" customHeight="1">
      <c r="A36" s="56" t="s">
        <v>179</v>
      </c>
      <c r="B36" s="8"/>
      <c r="C36" s="8"/>
      <c r="E36" s="8"/>
    </row>
    <row r="37" spans="1:7" s="456" customFormat="1" ht="12.75" customHeight="1">
      <c r="A37" s="559" t="s">
        <v>153</v>
      </c>
      <c r="B37" s="12" t="s">
        <v>154</v>
      </c>
      <c r="C37" s="12" t="s">
        <v>155</v>
      </c>
      <c r="D37" s="456" t="s">
        <v>156</v>
      </c>
      <c r="F37" s="8"/>
      <c r="G37" s="8"/>
    </row>
    <row r="38" spans="1:5" s="456" customFormat="1" ht="12.75" customHeight="1">
      <c r="A38" s="456" t="s">
        <v>180</v>
      </c>
      <c r="B38" s="559">
        <f>Cal!C42</f>
        <v>475</v>
      </c>
      <c r="C38" s="559">
        <f>(B38-B39)*B6</f>
        <v>585.4261095373029</v>
      </c>
      <c r="D38" s="559">
        <f>D39+C38+E32</f>
        <v>50852.092776203965</v>
      </c>
      <c r="E38" s="456" t="s">
        <v>659</v>
      </c>
    </row>
    <row r="39" spans="1:5" ht="12.75" customHeight="1">
      <c r="A39" s="456" t="s">
        <v>181</v>
      </c>
      <c r="B39" s="559">
        <f>((D39-B28)*B5)+B40</f>
        <v>2861.610909013204</v>
      </c>
      <c r="C39" s="567">
        <v>0</v>
      </c>
      <c r="D39" s="559">
        <f>B31</f>
        <v>50229.5738904627</v>
      </c>
      <c r="E39" s="456" t="s">
        <v>659</v>
      </c>
    </row>
    <row r="40" spans="1:5" ht="12.75" customHeight="1">
      <c r="A40" s="456" t="s">
        <v>182</v>
      </c>
      <c r="B40" s="559">
        <f>Cal!C43</f>
        <v>3942</v>
      </c>
      <c r="C40" s="559">
        <f>(B40-B39)*B6</f>
        <v>-265.0151224626971</v>
      </c>
      <c r="D40" s="559">
        <f>D38-(C38-C40)</f>
        <v>50001.65154420397</v>
      </c>
      <c r="E40" s="456" t="s">
        <v>659</v>
      </c>
    </row>
    <row r="41" spans="1:3" s="456" customFormat="1" ht="12.75" customHeight="1">
      <c r="A41" s="456" t="s">
        <v>163</v>
      </c>
      <c r="C41" s="560">
        <f>C38-C40</f>
        <v>850.4412319999999</v>
      </c>
    </row>
    <row r="42" spans="1:3" s="456" customFormat="1" ht="12.75" customHeight="1">
      <c r="A42" s="456" t="s">
        <v>183</v>
      </c>
      <c r="B42" s="509">
        <f>total_scale_weight</f>
        <v>51649</v>
      </c>
      <c r="C42" s="456" t="s">
        <v>648</v>
      </c>
    </row>
    <row r="43" spans="1:3" s="456" customFormat="1" ht="12.75" customHeight="1">
      <c r="A43" s="456" t="s">
        <v>184</v>
      </c>
      <c r="B43" s="559">
        <f>B42/B29</f>
        <v>50266.666666666664</v>
      </c>
      <c r="C43" s="456" t="s">
        <v>659</v>
      </c>
    </row>
    <row r="44" spans="1:3" s="456" customFormat="1" ht="12.75" customHeight="1">
      <c r="A44" s="456" t="s">
        <v>185</v>
      </c>
      <c r="B44" s="559">
        <f>B39+(B43-D39)*B5</f>
        <v>2710.3945165568875</v>
      </c>
      <c r="C44" s="456" t="s">
        <v>152</v>
      </c>
    </row>
    <row r="45" s="456" customFormat="1" ht="12"/>
    <row r="46" s="456" customFormat="1" ht="12"/>
    <row r="47" s="456" customFormat="1" ht="12"/>
    <row r="48" s="456" customFormat="1" ht="12"/>
    <row r="49" s="456" customFormat="1" ht="12"/>
    <row r="50" s="456" customFormat="1" ht="12"/>
    <row r="51" s="456" customFormat="1" ht="12"/>
    <row r="52" s="456" customFormat="1" ht="12"/>
    <row r="53" s="456" customFormat="1" ht="12"/>
    <row r="54" s="456" customFormat="1" ht="12"/>
    <row r="55" s="456" customFormat="1" ht="12"/>
    <row r="56" s="456" customFormat="1" ht="12"/>
    <row r="57" s="456" customFormat="1" ht="12"/>
    <row r="58" s="456" customFormat="1" ht="12"/>
    <row r="59" s="456" customFormat="1" ht="12"/>
    <row r="60" s="456" customFormat="1" ht="12"/>
    <row r="61" s="456" customFormat="1" ht="12"/>
  </sheetData>
  <printOptions/>
  <pageMargins left="0.7479166666666667" right="0.7479166666666667" top="0.9840277777777777" bottom="0.9840277777777777" header="0.5118055555555555" footer="0.5"/>
  <pageSetup horizontalDpi="300" verticalDpi="300" orientation="portrait"/>
  <headerFooter alignWithMargins="0">
    <oddFooter>&amp;C&amp;F&amp;R&amp;P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6"/>
  <sheetViews>
    <sheetView zoomScale="70" zoomScaleNormal="70" workbookViewId="0" topLeftCell="A1">
      <selection activeCell="C7" sqref="C7"/>
    </sheetView>
  </sheetViews>
  <sheetFormatPr defaultColWidth="8.8515625" defaultRowHeight="12.75"/>
  <cols>
    <col min="1" max="1" width="11.421875" style="0" customWidth="1"/>
    <col min="2" max="2" width="91.28125" style="0" customWidth="1"/>
  </cols>
  <sheetData>
    <row r="1" ht="12">
      <c r="A1" s="455" t="s">
        <v>186</v>
      </c>
    </row>
    <row r="2" spans="1:2" ht="15">
      <c r="A2" s="121" t="s">
        <v>639</v>
      </c>
      <c r="B2" s="147">
        <f>Cal!D1</f>
        <v>500</v>
      </c>
    </row>
    <row r="3" spans="1:2" ht="12">
      <c r="A3" s="1" t="s">
        <v>187</v>
      </c>
      <c r="B3" t="s">
        <v>188</v>
      </c>
    </row>
    <row r="4" ht="12">
      <c r="A4" s="568"/>
    </row>
    <row r="5" ht="12">
      <c r="A5" s="569"/>
    </row>
    <row r="6" ht="12">
      <c r="A6" s="568"/>
    </row>
  </sheetData>
  <printOptions/>
  <pageMargins left="0.7479166666666667" right="0.7479166666666667" top="0.9840277777777777" bottom="0.9840277777777777" header="0.5118055555555555" footer="0.5"/>
  <pageSetup fitToHeight="2" fitToWidth="1" horizontalDpi="300" verticalDpi="300" orientation="portrait"/>
  <headerFooter alignWithMargins="0">
    <oddFooter>&amp;C&amp;F&amp;R&amp;P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8"/>
  <sheetViews>
    <sheetView zoomScale="70" zoomScaleNormal="70" workbookViewId="0" topLeftCell="A1">
      <selection activeCell="A16" sqref="A16"/>
    </sheetView>
  </sheetViews>
  <sheetFormatPr defaultColWidth="8.8515625" defaultRowHeight="12.75"/>
  <cols>
    <col min="1" max="1" width="10.421875" style="0" customWidth="1"/>
    <col min="2" max="2" width="95.7109375" style="0" customWidth="1"/>
  </cols>
  <sheetData>
    <row r="1" ht="15">
      <c r="A1" s="218" t="s">
        <v>189</v>
      </c>
    </row>
    <row r="2" spans="1:2" ht="15">
      <c r="A2" s="234" t="s">
        <v>639</v>
      </c>
      <c r="B2" s="147">
        <f>Trim!C2</f>
        <v>500</v>
      </c>
    </row>
    <row r="3" spans="1:2" ht="12">
      <c r="A3" t="s">
        <v>187</v>
      </c>
      <c r="B3" t="s">
        <v>188</v>
      </c>
    </row>
    <row r="4" ht="12">
      <c r="A4" s="568"/>
    </row>
    <row r="6" ht="12">
      <c r="A6" s="568"/>
    </row>
    <row r="8" ht="12">
      <c r="A8" s="568"/>
    </row>
  </sheetData>
  <printOptions/>
  <pageMargins left="0.7479166666666667" right="0.7479166666666667" top="0.9840277777777777" bottom="0.9840277777777777" header="0.5118055555555555" footer="0.5"/>
  <pageSetup fitToHeight="2" fitToWidth="1" horizontalDpi="300" verticalDpi="300" orientation="portrait"/>
  <headerFooter alignWithMargins="0">
    <oddFooter>&amp;C&amp;F&amp;R&amp;P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10"/>
  <sheetViews>
    <sheetView workbookViewId="0" topLeftCell="A1">
      <selection activeCell="A1" sqref="A1"/>
    </sheetView>
  </sheetViews>
  <sheetFormatPr defaultColWidth="8.8515625" defaultRowHeight="12.75"/>
  <cols>
    <col min="1" max="1" width="6.8515625" style="0" customWidth="1"/>
    <col min="2" max="2" width="7.421875" style="0" customWidth="1"/>
    <col min="3" max="4" width="7.421875" style="1" customWidth="1"/>
    <col min="5" max="5" width="10.00390625" style="1" customWidth="1"/>
    <col min="6" max="7" width="7.421875" style="0" customWidth="1"/>
    <col min="8" max="8" width="7.421875" style="1" customWidth="1"/>
    <col min="9" max="9" width="8.00390625" style="1" customWidth="1"/>
    <col min="10" max="12" width="7.421875" style="0" customWidth="1"/>
    <col min="13" max="13" width="7.140625" style="1" customWidth="1"/>
    <col min="14" max="16" width="7.421875" style="0" customWidth="1"/>
    <col min="17" max="17" width="7.421875" style="1" customWidth="1"/>
    <col min="18" max="18" width="7.421875" style="0" customWidth="1"/>
  </cols>
  <sheetData>
    <row r="1" spans="1:14" ht="15">
      <c r="A1" s="9" t="s">
        <v>18</v>
      </c>
      <c r="B1" s="22"/>
      <c r="F1" s="22"/>
      <c r="J1" s="22"/>
      <c r="N1" s="22"/>
    </row>
    <row r="2" spans="1:14" ht="15">
      <c r="A2" s="9"/>
      <c r="B2" s="22"/>
      <c r="F2" s="22"/>
      <c r="J2" s="22"/>
      <c r="N2" s="22"/>
    </row>
    <row r="3" spans="1:23" ht="38.25" customHeight="1">
      <c r="A3" s="544"/>
      <c r="B3" s="464" t="s">
        <v>19</v>
      </c>
      <c r="D3" s="22"/>
      <c r="E3" s="570"/>
      <c r="F3" s="464" t="s">
        <v>20</v>
      </c>
      <c r="I3" s="570"/>
      <c r="J3" s="571" t="s">
        <v>21</v>
      </c>
      <c r="M3" s="570"/>
      <c r="N3" s="464" t="s">
        <v>22</v>
      </c>
      <c r="R3" s="617" t="s">
        <v>23</v>
      </c>
      <c r="S3" s="617"/>
      <c r="T3" s="617"/>
      <c r="U3" s="617" t="s">
        <v>24</v>
      </c>
      <c r="V3" s="617"/>
      <c r="W3" s="617"/>
    </row>
    <row r="4" spans="1:23" ht="82.5" customHeight="1">
      <c r="A4" s="572" t="s">
        <v>25</v>
      </c>
      <c r="B4" s="573" t="s">
        <v>26</v>
      </c>
      <c r="C4" s="573" t="s">
        <v>27</v>
      </c>
      <c r="D4" s="573" t="s">
        <v>28</v>
      </c>
      <c r="E4" s="574" t="s">
        <v>198</v>
      </c>
      <c r="F4" s="573" t="s">
        <v>26</v>
      </c>
      <c r="G4" s="573" t="s">
        <v>27</v>
      </c>
      <c r="H4" s="573" t="s">
        <v>28</v>
      </c>
      <c r="I4" s="574" t="s">
        <v>199</v>
      </c>
      <c r="J4" s="573" t="s">
        <v>26</v>
      </c>
      <c r="K4" s="573" t="s">
        <v>27</v>
      </c>
      <c r="L4" s="573" t="s">
        <v>28</v>
      </c>
      <c r="M4" s="574" t="s">
        <v>200</v>
      </c>
      <c r="N4" s="573" t="s">
        <v>26</v>
      </c>
      <c r="O4" s="573" t="s">
        <v>27</v>
      </c>
      <c r="P4" s="573" t="s">
        <v>28</v>
      </c>
      <c r="Q4" s="573" t="s">
        <v>200</v>
      </c>
      <c r="R4" s="573" t="s">
        <v>201</v>
      </c>
      <c r="S4" s="573" t="s">
        <v>202</v>
      </c>
      <c r="T4" s="573" t="s">
        <v>203</v>
      </c>
      <c r="U4" s="573" t="s">
        <v>204</v>
      </c>
      <c r="V4" s="573" t="s">
        <v>205</v>
      </c>
      <c r="W4" s="573" t="s">
        <v>206</v>
      </c>
    </row>
    <row r="5" spans="1:23" ht="12.75" customHeight="1">
      <c r="A5" s="570">
        <v>500</v>
      </c>
      <c r="B5" s="22">
        <v>66</v>
      </c>
      <c r="C5" s="1">
        <v>18.35</v>
      </c>
      <c r="D5" s="22">
        <v>18</v>
      </c>
      <c r="E5" s="570"/>
      <c r="F5" s="22">
        <v>14</v>
      </c>
      <c r="G5" s="1">
        <v>4.38</v>
      </c>
      <c r="H5" s="1">
        <v>4.38</v>
      </c>
      <c r="I5" s="570"/>
      <c r="J5" s="22"/>
      <c r="K5" s="575">
        <v>4</v>
      </c>
      <c r="L5" s="575">
        <v>3.9</v>
      </c>
      <c r="M5" s="570">
        <v>4.02</v>
      </c>
      <c r="N5" s="22">
        <v>4.3</v>
      </c>
      <c r="O5" s="1"/>
      <c r="P5" s="575">
        <v>4.16</v>
      </c>
      <c r="Q5" s="1">
        <v>4.6</v>
      </c>
      <c r="R5" s="575"/>
      <c r="S5" s="575"/>
      <c r="T5" s="575"/>
      <c r="U5" s="575"/>
      <c r="V5" s="575"/>
      <c r="W5" s="575"/>
    </row>
    <row r="10" ht="12">
      <c r="E10" s="576" t="s">
        <v>207</v>
      </c>
    </row>
  </sheetData>
  <mergeCells count="2">
    <mergeCell ref="R3:T3"/>
    <mergeCell ref="U3:W3"/>
  </mergeCells>
  <printOptions/>
  <pageMargins left="0.7479166666666667" right="0.7479166666666667" top="0.9840277777777777" bottom="0.9840277777777777" header="0.5118055555555555" footer="0.5118055555555555"/>
  <pageSetup fitToHeight="1" fitToWidth="1" horizontalDpi="300" verticalDpi="300" orientation="landscape"/>
  <headerFooter alignWithMargins="0">
    <oddFooter>&amp;C&amp;F&amp;R&amp;P of &amp;N</oddFooter>
  </headerFooter>
</worksheet>
</file>

<file path=xl/worksheets/sheet9.xml><?xml version="1.0" encoding="utf-8"?>
<worksheet xmlns="http://schemas.openxmlformats.org/spreadsheetml/2006/main" xmlns:r="http://schemas.openxmlformats.org/officeDocument/2006/relationships">
  <dimension ref="A1:E20"/>
  <sheetViews>
    <sheetView zoomScale="125" zoomScaleNormal="125" workbookViewId="0" topLeftCell="A1">
      <selection activeCell="D9" sqref="D9"/>
    </sheetView>
  </sheetViews>
  <sheetFormatPr defaultColWidth="9.140625" defaultRowHeight="12.75"/>
  <cols>
    <col min="1" max="1" width="25.7109375" style="31" customWidth="1"/>
    <col min="2" max="2" width="12.140625" style="31" customWidth="1"/>
    <col min="3" max="16384" width="9.140625" style="466" customWidth="1"/>
  </cols>
  <sheetData>
    <row r="1" spans="1:3" s="580" customFormat="1" ht="16.5">
      <c r="A1" s="577" t="s">
        <v>208</v>
      </c>
      <c r="B1" s="578" t="s">
        <v>639</v>
      </c>
      <c r="C1" s="579">
        <f>Trim!C2</f>
        <v>500</v>
      </c>
    </row>
    <row r="2" spans="1:4" ht="15">
      <c r="A2" s="6" t="s">
        <v>806</v>
      </c>
      <c r="B2" s="7">
        <v>39955</v>
      </c>
      <c r="C2" s="6" t="s">
        <v>808</v>
      </c>
      <c r="D2" s="10">
        <v>0.08333333333333333</v>
      </c>
    </row>
    <row r="3" spans="1:4" ht="12">
      <c r="A3" s="20" t="s">
        <v>209</v>
      </c>
      <c r="B3" s="581">
        <v>2.713</v>
      </c>
      <c r="C3" s="456" t="s">
        <v>664</v>
      </c>
      <c r="D3" s="456"/>
    </row>
    <row r="4" spans="1:4" ht="12">
      <c r="A4" s="20" t="s">
        <v>210</v>
      </c>
      <c r="B4" s="581">
        <v>11.296</v>
      </c>
      <c r="C4" s="456" t="s">
        <v>664</v>
      </c>
      <c r="D4" s="456"/>
    </row>
    <row r="5" spans="1:4" ht="12">
      <c r="A5" s="20" t="s">
        <v>211</v>
      </c>
      <c r="B5" s="581">
        <v>8.415</v>
      </c>
      <c r="C5" s="456" t="s">
        <v>664</v>
      </c>
      <c r="D5" s="456"/>
    </row>
    <row r="6" spans="1:4" ht="12">
      <c r="A6" s="20" t="s">
        <v>212</v>
      </c>
      <c r="B6" s="581">
        <v>8.027</v>
      </c>
      <c r="C6" s="456" t="s">
        <v>664</v>
      </c>
      <c r="D6" s="456"/>
    </row>
    <row r="7" spans="1:4" ht="12.75">
      <c r="A7" s="20" t="s">
        <v>213</v>
      </c>
      <c r="B7" s="581">
        <v>0.9</v>
      </c>
      <c r="C7" s="456" t="s">
        <v>664</v>
      </c>
      <c r="D7" s="456"/>
    </row>
    <row r="8" spans="1:5" ht="12.75">
      <c r="A8" s="20" t="s">
        <v>214</v>
      </c>
      <c r="B8" s="581">
        <v>1.6228428035651776</v>
      </c>
      <c r="C8" s="456" t="s">
        <v>664</v>
      </c>
      <c r="D8" s="509" t="s">
        <v>44</v>
      </c>
      <c r="E8" s="581"/>
    </row>
    <row r="9" spans="1:4" ht="12.75">
      <c r="A9" s="20" t="s">
        <v>215</v>
      </c>
      <c r="B9" s="581">
        <v>7.1</v>
      </c>
      <c r="C9" s="456" t="s">
        <v>664</v>
      </c>
      <c r="D9" s="456"/>
    </row>
    <row r="10" spans="1:4" ht="12.75">
      <c r="A10" s="20" t="s">
        <v>54</v>
      </c>
      <c r="B10" s="581">
        <v>1.41</v>
      </c>
      <c r="C10" s="456" t="s">
        <v>664</v>
      </c>
      <c r="D10" s="456"/>
    </row>
    <row r="11" spans="1:4" ht="12.75">
      <c r="A11" s="20" t="s">
        <v>55</v>
      </c>
      <c r="B11" s="581">
        <v>1.23</v>
      </c>
      <c r="C11" s="456" t="s">
        <v>664</v>
      </c>
      <c r="D11" s="456"/>
    </row>
    <row r="12" spans="1:3" ht="12.75">
      <c r="A12" s="20" t="s">
        <v>56</v>
      </c>
      <c r="B12" s="581">
        <v>0.8229</v>
      </c>
      <c r="C12" s="456" t="s">
        <v>664</v>
      </c>
    </row>
    <row r="13" spans="1:4" ht="12.75">
      <c r="A13" s="20" t="s">
        <v>57</v>
      </c>
      <c r="B13" s="38">
        <v>0.672</v>
      </c>
      <c r="C13" s="456" t="s">
        <v>664</v>
      </c>
      <c r="D13" s="456"/>
    </row>
    <row r="14" spans="1:4" ht="12.75">
      <c r="A14" s="1" t="s">
        <v>58</v>
      </c>
      <c r="B14" s="38">
        <v>1.3936</v>
      </c>
      <c r="C14" s="456" t="s">
        <v>664</v>
      </c>
      <c r="D14" s="456"/>
    </row>
    <row r="15" spans="1:4" ht="12.75">
      <c r="A15" s="1" t="s">
        <v>59</v>
      </c>
      <c r="B15" s="38">
        <v>1.151</v>
      </c>
      <c r="C15" s="456" t="s">
        <v>664</v>
      </c>
      <c r="D15" s="456"/>
    </row>
    <row r="16" spans="1:4" ht="12">
      <c r="A16" s="1" t="s">
        <v>60</v>
      </c>
      <c r="B16" s="581">
        <v>1.21</v>
      </c>
      <c r="C16" s="456" t="s">
        <v>664</v>
      </c>
      <c r="D16" s="456"/>
    </row>
    <row r="18" ht="12">
      <c r="A18" s="582" t="s">
        <v>61</v>
      </c>
    </row>
    <row r="20" ht="12">
      <c r="A20" t="s">
        <v>62</v>
      </c>
    </row>
  </sheetData>
  <printOptions/>
  <pageMargins left="0.7479166666666667" right="0.7479166666666667" top="0.9840277777777777" bottom="0.9840277777777777" header="0.5118055555555555" footer="0.5"/>
  <pageSetup horizontalDpi="300" verticalDpi="300" orientation="portrait"/>
  <headerFooter alignWithMargins="0">
    <oddFooter>&amp;C&amp;F&amp;R&amp;P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Lehman</dc:creator>
  <cp:keywords/>
  <dc:description/>
  <cp:lastModifiedBy>Jennie Mowatt</cp:lastModifiedBy>
  <cp:lastPrinted>2010-03-12T19:00:08Z</cp:lastPrinted>
  <dcterms:created xsi:type="dcterms:W3CDTF">1999-11-08T17:25:34Z</dcterms:created>
  <dcterms:modified xsi:type="dcterms:W3CDTF">2010-06-23T00:20:10Z</dcterms:modified>
  <cp:category/>
  <cp:version/>
  <cp:contentType/>
  <cp:contentStatus/>
  <cp:revision>1</cp:revision>
</cp:coreProperties>
</file>