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6" yWindow="65516" windowWidth="23260" windowHeight="6540" tabRatio="632" activeTab="0"/>
  </bookViews>
  <sheets>
    <sheet name="Cal" sheetId="1" r:id="rId1"/>
    <sheet name="Trim" sheetId="2" r:id="rId2"/>
    <sheet name="Lead Worksheet" sheetId="3" r:id="rId3"/>
    <sheet name="Ballast" sheetId="4" r:id="rId4"/>
    <sheet name="Tank _ PS notes" sheetId="5" r:id="rId5"/>
    <sheet name="Maint" sheetId="6" r:id="rId6"/>
    <sheet name="Pres cal" sheetId="7" r:id="rId7"/>
    <sheet name="Motor Data" sheetId="8" r:id="rId8"/>
    <sheet name="Material" sheetId="9" r:id="rId9"/>
    <sheet name="Matlab" sheetId="10" r:id="rId10"/>
  </sheets>
  <definedNames>
    <definedName name="Alum_density">'Material'!$B$3</definedName>
    <definedName name="Bat_Hull_Vol">'Trim'!#REF!</definedName>
    <definedName name="batt_roll_angle">'Trim'!$C$34</definedName>
    <definedName name="Brass_Density">'Material'!$B$5</definedName>
    <definedName name="CG">#REF!</definedName>
    <definedName name="CG_2">'Trim'!$C$24</definedName>
    <definedName name="comp_VCB">'Trim'!$C$32</definedName>
    <definedName name="Complete_Fairing_Vol">'Trim'!$C$44</definedName>
    <definedName name="CT_Sail_Vol">'Trim'!$K$250</definedName>
    <definedName name="Dead_Oil_Vol">'Trim'!$R$20</definedName>
    <definedName name="Displaced_Volume">'Trim'!$C$16</definedName>
    <definedName name="Endcap_Ext_Bladder_Vol">'Trim'!#REF!</definedName>
    <definedName name="Endcap_Vol">'Trim'!$K$149</definedName>
    <definedName name="Fiberglass_Density">'Material'!$B$8</definedName>
    <definedName name="Fwd_Hull_Vol">'Trim'!#REF!</definedName>
    <definedName name="Internal_Oil_Vol">'Trim'!$L$20</definedName>
    <definedName name="lcg">#REF!</definedName>
    <definedName name="lcg_2">'Trim'!$C$26</definedName>
    <definedName name="Lead_Density">'Material'!$B$4</definedName>
    <definedName name="Main_Bulkhead_Vol">'Trim'!#REF!</definedName>
    <definedName name="move_mom_VCG">'Trim'!$S$340</definedName>
    <definedName name="Neoprene_Density">'Material'!$B$11</definedName>
    <definedName name="Oil_density">'Material'!$B$12</definedName>
    <definedName name="Oil_Specific_Gravity_gm_cc">'Material'!$B$12</definedName>
    <definedName name="Oil_wt">#REF!</definedName>
    <definedName name="Oil_wt_2">'Trim'!$C$143</definedName>
    <definedName name="pi">3.1415</definedName>
    <definedName name="Polypropylene_Density">'Material'!$B$7</definedName>
    <definedName name="_xlnm.Print_Area" localSheetId="0">'Cal'!$A$1:$E$159</definedName>
    <definedName name="_xlnm.Print_Area" localSheetId="5">'Maint'!$A$1:$B$67</definedName>
    <definedName name="_xlnm.Print_Area" localSheetId="4">'Tank _ PS notes'!$A$1:$C$37</definedName>
    <definedName name="_xlnm.Print_Area" localSheetId="1">'Trim'!$B$1:$R$404</definedName>
    <definedName name="PVC_Density">'Material'!$B$10</definedName>
    <definedName name="rho">#REF!</definedName>
    <definedName name="rho_2">'Trim'!$C$18</definedName>
    <definedName name="rho_fairing">#REF!</definedName>
    <definedName name="rho_fairing_2">'Trim'!#REF!</definedName>
    <definedName name="Roll">#REF!</definedName>
    <definedName name="Roll_2">'Trim'!$C$35</definedName>
    <definedName name="Roll_5">'Trim'!$C$35</definedName>
    <definedName name="SS_Density">'Material'!$B$6</definedName>
    <definedName name="stern">NA()</definedName>
    <definedName name="stern_2">NA()</definedName>
    <definedName name="stroke">#REF!</definedName>
    <definedName name="stroke_2">'Trim'!$C$27</definedName>
    <definedName name="stroke_5">'Trim'!$C$26</definedName>
    <definedName name="Tot_mom_VCB">'Trim'!$R$53</definedName>
    <definedName name="Tot_mom_VCG">'Trim'!$Q$53</definedName>
    <definedName name="Total_Moment_LCB">'Trim'!$N$53</definedName>
    <definedName name="Total_Moment_LCG">'Trim'!$I$53</definedName>
    <definedName name="Total_Oil_Vol">'Trim'!$C$144</definedName>
    <definedName name="total_scale_weight">'Trim'!$C$10</definedName>
    <definedName name="Total_Weight">'Trim'!$F$53</definedName>
    <definedName name="Total_Weight_In_Air">'Trim'!$C$9</definedName>
    <definedName name="vcg">#REF!</definedName>
    <definedName name="vcg_2">'Trim'!$C$33</definedName>
    <definedName name="Vehicle_roll">'Trim'!$C$35</definedName>
    <definedName name="Wing_density">'Material'!$B$13</definedName>
    <definedName name="Zinc_Density">'Material'!$B$9</definedName>
  </definedNames>
  <calcPr fullCalcOnLoad="1"/>
</workbook>
</file>

<file path=xl/comments2.xml><?xml version="1.0" encoding="utf-8"?>
<comments xmlns="http://schemas.openxmlformats.org/spreadsheetml/2006/main">
  <authors>
    <author/>
    <author>mike johnson</author>
  </authors>
  <commentList>
    <comment ref="M2" authorId="0">
      <text>
        <r>
          <rPr>
            <b/>
            <sz val="8"/>
            <color indexed="8"/>
            <rFont val="Nimbus Roman No9 L"/>
            <family val="1"/>
          </rPr>
          <t xml:space="preserve">Fritz Stahr:07 may 2006
Made changes to make easier and more clear to use. Added Ballast sheet with connections to both Trim sheet and Cal sheet. Added Pressure Sensor cal sheet directly here with connections to Cal sheet. Added Maintenance sheet to keep track of during build changes. Modified the Trim page to accomodate noted changes in weight of sub-assemblies. Changed top of page to interact with Ballast sheet better and to make explicit note of changes in trim weight location to get good pitch and roll gain. Russ' notes below are a good basic guide to the original intent of the sheet, but should not be taken too literally.
Russ Light: (~2001?)
</t>
        </r>
        <r>
          <rPr>
            <sz val="8"/>
            <color indexed="8"/>
            <rFont val="Nimbus Roman No9 L"/>
            <family val="1"/>
          </rPr>
          <t xml:space="preserve">There are two primary goals in achieve with the spreadsheet: 
    1) Trimming which involves getting neutral bouyancy
   2) Balancing which involves achieving zero LCB-LCG separation
Trimming the glider amounts to changing the weight value for the forward fairing trim weight until the Net Buoyancy value goes to zero.  The Internal Oil Stroke must also be set for the desired percentage to achieve mission conditions.  Thre stroke value determines the nuetral point of the VBD system and thus determines how much displacement is available for thrust and surface manuever.  Of these two values the bouyancy required for the surface maneuver is the most important.  The density of the surface water layer determines how much displacement in the external bladder will be required to achieve the proper antenna mast position for GPS and data telemetry.  In cases of extream fresh water conditions as much as 650cc were required in the external bladder to achieve the proper surface position.  Select the stroke percentage to give sufficient displacement for the surface maneuver.  Adjust the forward fairing trim lead to zero the Net Buoyancy.
To achieve the proper balance the LCB-LCG difference value is made to be zero.  After achieving neutral buoyancy in the above procedure the center of gravity can be adjusted by changing the Pitch Mass Stroke percentage. The ideal value for this percentage is probably between 50-75%.  The total throw of the pitch mass shifter is approx 15cm.  Typical glider operations only require 1-3cm of movement to acheive normal glide slopes.  By biasing the neutral point towards the aft more shift is provided for the surface manuever.
</t>
        </r>
        <r>
          <rPr>
            <b/>
            <sz val="8"/>
            <color indexed="8"/>
            <rFont val="Nimbus Roman No9 L"/>
            <family val="1"/>
          </rPr>
          <t xml:space="preserve">FROM THE VMG USER'S GUIDE
</t>
        </r>
        <r>
          <rPr>
            <sz val="8"/>
            <color indexed="8"/>
            <rFont val="Nimbus Roman No9 L"/>
            <family val="1"/>
          </rPr>
          <t xml:space="preserve">10.0  Trimming Procedure
This section outlines how to manipulate, or more generally, in what order to manipulate the VMG trim sheet. There is a specific trim sheet for every glider, and its maintenance and upkeep are a necessary and time-consuming task, especially with changes to the VM hardware.
The goal is to set the VM Variable Buoyancy Device (VBD) for a given range of expected seawater density so that the limited range of buoyancy control is sufficient to perform its mission.  After the vehicle is trimmed for neutral buoyancy at the expected density, it is then necessary to set the vehicle longitudinal pitch trim so that it floats level, with zero pitch, with sufficient remaining control over its pitch to dive and climb.
The range of seawater density determines how precisely the VM must be trimmed. Density ranges greater than 0.7 practical salinity units (psu) may reduce the amount of thrust available during a dive to less than 200 grams.  Such a density range will require exact laboratory trimming to avoid using some of the VBD volume for achieving neutral trim.
The volume at the surface defines the minimum positive buoyancy and provides a starting point for the calculations.  An estimate of the surface density (at an average depth of 0.5 to 1.0 meter) must be available for this calculation.  
With all the trim sheet weights and positions entered with utmost accuracy, we’re ready to set the final trim for a given density range expected.  Adjustments are generally left to modifying the amount and location of external hull trim lead, which is that lead carried, or taped, to the inside of the bottom of the fairing.
First we’ll set the overall buoyancy trim, then deal with the longitudinal pitch trim. Cell names in Italics represent actual cells in the spreadsheet.
Set Overall Buoyancy Trim
1) Set the VBD Internal Oil Stroke to 5%.  
This represents the near maximum displaced volume, leaving 5% margin for trim errors and/or lighter than expected surface density.
2) Set Density to the expected surface density (e.g. 1.018)
3) Adjust the external trim lead to yield about 275 grams (+/- 10) grams of Net Buoyancy.  This is required to elevate the present cellular phone/GPS antenna design to the maximum degree above the water.  Future designs may take more or less: it is a function solely of the displaced volume of the antenna assembly. 
4) Now set the Density to the expected seawater density at the apogee depth (e.g. 1.024).  This is the density where the VM trim neutral point is defined.  
5) Using the goal seek function of Microsoft EXCEL, or the hunt and peck method, determine the VBD internal oil gage setting to achieve neutral buoyancy at apogee.  Force the Net Buoyancy value to zero by adjusting the value of the Internal Oil Stroke.  Record this value of neutral trim in the calibration sheet (specifically the A/D value of VBD Position)
6) Observe the maximum obtainable negative buoyancy by setting the Internal Oil Stroke to 95%.  This is the maximum thrust available during a dive.  This should exceed that required for the mission as determined by expected currents or round trip dive times.
If this maximum thrust is much more than is likely needed or desired, it might be wise to repeat the process, but leaving more positive buoyancy available for surfacing in lighter than expected surface water density (e.g. 10% or 15% versus 5%).  
Set Vehicle Longitudinal Pitch Trim
7) With the VBD set at the neutral trim point as determined in step #5, and the Pitch Mass Stroke set to 50%, play with the XCG position of the Trim Lead, Main Hull.  Verify that there is position in the hull to accommodate the lead; this can be done in the big AutoCAD assembly drawing, #49800.  It will probably be needed to place the trim lead in the most advantageous position in the fairing, and achieve the final pitch trim using the Pitch Mass Stroke, to achieve a zero Vehicle Pitch Angle.  As done in step 5, record the Pitch Mass Position A/D value on the calibration sheet.  
Note that these two numbers, which define the neutral buoyancy and neutral pitch trim, are initial estimates only. Their values will surely be modified in the field based upon dive performance data.
</t>
        </r>
      </text>
    </comment>
    <comment ref="C18" authorId="0">
      <text>
        <r>
          <rPr>
            <sz val="8"/>
            <color indexed="8"/>
            <rFont val="Nimbus Roman No9 L"/>
            <family val="1"/>
          </rPr>
          <t xml:space="preserve">This should be either measured or predicted denstiy the density of water the glider will encounter, e.g., OSB tank, PS surface, PS deep, WA coast deep.
 </t>
        </r>
      </text>
    </comment>
    <comment ref="C19" authorId="0">
      <text>
        <r>
          <rPr>
            <b/>
            <sz val="8"/>
            <color indexed="8"/>
            <rFont val="Nimbus Roman No9 L"/>
            <family val="1"/>
          </rPr>
          <t>Fritz (07May06):
Minimum value for surface manuever is 150 cc so test by setting to density to lightest possible (e.g., 1.018 for PS) and then put oil reservoir to 5% to be sure it can do it.</t>
        </r>
      </text>
    </comment>
    <comment ref="B20" authorId="0">
      <text>
        <r>
          <rPr>
            <b/>
            <sz val="8"/>
            <color indexed="8"/>
            <rFont val="Nimbus Roman No9 L"/>
            <family val="1"/>
          </rPr>
          <t xml:space="preserve">Russ Light:
</t>
        </r>
        <r>
          <rPr>
            <sz val="8"/>
            <color indexed="8"/>
            <rFont val="Nimbus Roman No9 L"/>
            <family val="1"/>
          </rPr>
          <t>The percentage of oil in the internal bladder.  100% stroke means the internal bladder is full.
Since the spreadsheet is designed to be adjusted until neutral buoyancy is achieved this value is critical.  The user must weigh the issues of how much positive buoyancy is required at the surface for surface maneuver based on surface water density.  For fresh surface water conditions this can result in a lack of thrust range.  Very fresh water conditions found during Puget Sound testing in Possession Sound during the spring/summer required surface buoyance values from 600-650 cc.
In general the stoke is biased above 50% so that there is sufficient reserve for achieving enough positive buoyancy on the surface.</t>
        </r>
      </text>
    </comment>
    <comment ref="E20" authorId="0">
      <text>
        <r>
          <rPr>
            <sz val="8"/>
            <color indexed="8"/>
            <rFont val="Nimbus Roman No9 L"/>
            <family val="1"/>
          </rPr>
          <t xml:space="preserve">External Bladder Full = low AD = vehicle floats higher.
External Bladder Empty = high AD = vehicle sinks lower.
</t>
        </r>
      </text>
    </comment>
    <comment ref="B27" authorId="0">
      <text>
        <r>
          <rPr>
            <sz val="8"/>
            <color indexed="8"/>
            <rFont val="Nimbus Roman No9 L"/>
            <family val="1"/>
          </rPr>
          <t>Nominal is 70% so can pitch far forward during surface manuever, Max Stroke is 15.32 cm</t>
        </r>
      </text>
    </comment>
    <comment ref="E27" authorId="0">
      <text>
        <r>
          <rPr>
            <sz val="8"/>
            <color indexed="8"/>
            <rFont val="Nimbus Roman No9 L"/>
            <family val="1"/>
          </rPr>
          <t>Positive cm is aft = high AD.
Negative cm is fwd = low AD.</t>
        </r>
      </text>
    </comment>
    <comment ref="B35" authorId="0">
      <text>
        <r>
          <rPr>
            <b/>
            <sz val="8"/>
            <color indexed="8"/>
            <rFont val="Nimbus Roman No9 L"/>
            <family val="1"/>
          </rPr>
          <t xml:space="preserve">Jim Osse:
</t>
        </r>
        <r>
          <rPr>
            <sz val="8"/>
            <color indexed="8"/>
            <rFont val="Nimbus Roman No9 L"/>
            <family val="1"/>
          </rPr>
          <t>Itterates for roll by equating moment of battery against moment of hull VCG and hull VCB, must have itteration option ON</t>
        </r>
      </text>
    </comment>
    <comment ref="J38" authorId="0">
      <text>
        <r>
          <rPr>
            <b/>
            <sz val="9"/>
            <color indexed="8"/>
            <rFont val="Geneva"/>
            <family val="2"/>
          </rPr>
          <t xml:space="preserve">Fritz Stahr:
</t>
        </r>
        <r>
          <rPr>
            <sz val="9"/>
            <color indexed="8"/>
            <rFont val="Geneva"/>
            <family val="2"/>
          </rPr>
          <t>Anything inside the pressure hull is considered to displace no volume.</t>
        </r>
      </text>
    </comment>
    <comment ref="L38" authorId="0">
      <text>
        <r>
          <rPr>
            <b/>
            <sz val="8"/>
            <color indexed="8"/>
            <rFont val="Nimbus Roman No9 L"/>
            <family val="1"/>
          </rPr>
          <t xml:space="preserve">Russ Light:
</t>
        </r>
        <r>
          <rPr>
            <sz val="8"/>
            <color indexed="8"/>
            <rFont val="Nimbus Roman No9 L"/>
            <family val="1"/>
          </rPr>
          <t>In the case where the part is fabricated from a homogenous material the CG and CB are the same.  In this case you will find that the CB is taken directly from the CG cell.</t>
        </r>
      </text>
    </comment>
    <comment ref="F52" authorId="0">
      <text>
        <r>
          <rPr>
            <b/>
            <sz val="9"/>
            <color indexed="8"/>
            <rFont val="Geneva"/>
            <family val="2"/>
          </rPr>
          <t xml:space="preserve">Fritz Stahr:
</t>
        </r>
        <r>
          <rPr>
            <sz val="9"/>
            <color indexed="8"/>
            <rFont val="Geneva"/>
            <family val="2"/>
          </rPr>
          <t>determined by original all-up dry weight difference, including lead and tape 6/6/06, then adjusted to match all up wt. for HI</t>
        </r>
      </text>
    </comment>
    <comment ref="G52" authorId="0">
      <text>
        <r>
          <rPr>
            <b/>
            <sz val="9"/>
            <color indexed="8"/>
            <rFont val="Geneva"/>
            <family val="2"/>
          </rPr>
          <t xml:space="preserve">Fritz Stahr:
</t>
        </r>
        <r>
          <rPr>
            <sz val="9"/>
            <color indexed="8"/>
            <rFont val="Geneva"/>
            <family val="2"/>
          </rPr>
          <t>set to LCG zero point</t>
        </r>
      </text>
    </comment>
    <comment ref="J52" authorId="0">
      <text>
        <r>
          <rPr>
            <b/>
            <sz val="9"/>
            <color indexed="8"/>
            <rFont val="Geneva"/>
            <family val="2"/>
          </rPr>
          <t xml:space="preserve">Fritz Stahr:
</t>
        </r>
        <r>
          <rPr>
            <sz val="9"/>
            <color indexed="8"/>
            <rFont val="Geneva"/>
            <family val="2"/>
          </rPr>
          <t>set to make neutral observed in Port Susan show 0 net buoyancy</t>
        </r>
      </text>
    </comment>
    <comment ref="L52" authorId="0">
      <text>
        <r>
          <rPr>
            <b/>
            <sz val="9"/>
            <color indexed="8"/>
            <rFont val="Geneva"/>
            <family val="2"/>
          </rPr>
          <t xml:space="preserve">Fritz Stahr:
</t>
        </r>
        <r>
          <rPr>
            <sz val="9"/>
            <color indexed="8"/>
            <rFont val="Geneva"/>
            <family val="2"/>
          </rPr>
          <t>adjusted to make pitch center found in PS be zero</t>
        </r>
      </text>
    </comment>
    <comment ref="G62" authorId="0">
      <text>
        <r>
          <rPr>
            <sz val="9"/>
            <color indexed="8"/>
            <rFont val="Geneva"/>
            <family val="2"/>
          </rPr>
          <t>Fritz Stahr: 16may06
In orig trim sheets this changed from glider to glider and appeared to be calculated. Further, this # was also pasted into the xcg for the aft fairing. Replaced with Solidworks locations for xcg/b.</t>
        </r>
      </text>
    </comment>
    <comment ref="J62" authorId="0">
      <text>
        <r>
          <rPr>
            <b/>
            <sz val="8"/>
            <color indexed="8"/>
            <rFont val="Nimbus Roman No9 L"/>
            <family val="1"/>
          </rPr>
          <t xml:space="preserve">Russ Light:
</t>
        </r>
        <r>
          <rPr>
            <sz val="8"/>
            <color indexed="8"/>
            <rFont val="Nimbus Roman No9 L"/>
            <family val="1"/>
          </rPr>
          <t>Weighed fwd fairing (painted) with joint ring in air and in water:
Air Wt = 6603g
H20 Wt = 2595g
Diff = Vol = 4008cc
Using computed volumes of joint ring  fwd fairing volume is = 3686cc</t>
        </r>
      </text>
    </comment>
    <comment ref="G69" authorId="0">
      <text>
        <r>
          <rPr>
            <b/>
            <sz val="9"/>
            <color indexed="8"/>
            <rFont val="Geneva"/>
            <family val="2"/>
          </rPr>
          <t xml:space="preserve">Fritz Stahr:
</t>
        </r>
        <r>
          <rPr>
            <sz val="9"/>
            <color indexed="8"/>
            <rFont val="Geneva"/>
            <family val="2"/>
          </rPr>
          <t>41.70" represents 5" long strips of weight butted up against fwd edge of fairing joint ring</t>
        </r>
      </text>
    </comment>
    <comment ref="G81" authorId="0">
      <text>
        <r>
          <rPr>
            <sz val="8"/>
            <color indexed="8"/>
            <rFont val="Nimbus Roman No9 L"/>
            <family val="1"/>
          </rPr>
          <t>Tom: 
MLW solidworks centroid-no parts included 8/8/2001: 54.15"
Jim: Orig ACAD estimate 35.20" total fairing; enter only for forward fairing
Fritz: trim sheets ahd been taking this from fwd fairing, I assume to represent the whole fairing, but now individual LCGs and LCBs</t>
        </r>
      </text>
    </comment>
    <comment ref="J84" authorId="0">
      <text>
        <r>
          <rPr>
            <b/>
            <sz val="8"/>
            <color indexed="8"/>
            <rFont val="Nimbus Roman No9 L"/>
            <family val="1"/>
          </rPr>
          <t xml:space="preserve">mike johnson:
</t>
        </r>
        <r>
          <rPr>
            <sz val="8"/>
            <color indexed="8"/>
            <rFont val="Nimbus Roman No9 L"/>
            <family val="1"/>
          </rPr>
          <t>Volume taken from Solidworks model 49838-A</t>
        </r>
      </text>
    </comment>
    <comment ref="J101" authorId="0">
      <text>
        <r>
          <rPr>
            <sz val="8"/>
            <color indexed="8"/>
            <rFont val="Nimbus Roman No9 L"/>
            <family val="1"/>
          </rPr>
          <t xml:space="preserve">Volume obtained by Light and derived by twl 6/200o
</t>
        </r>
      </text>
    </comment>
    <comment ref="J107" authorId="0">
      <text>
        <r>
          <rPr>
            <sz val="8"/>
            <color indexed="8"/>
            <rFont val="Nimbus Roman No9 L"/>
            <family val="1"/>
          </rPr>
          <t xml:space="preserve">Volume obtained by Light and derived by twl 6/200o
</t>
        </r>
      </text>
    </comment>
    <comment ref="J114" authorId="0">
      <text>
        <r>
          <rPr>
            <b/>
            <sz val="8"/>
            <color indexed="8"/>
            <rFont val="Nimbus Roman No9 L"/>
            <family val="1"/>
          </rPr>
          <t xml:space="preserve">Russ Light:
</t>
        </r>
        <r>
          <rPr>
            <sz val="8"/>
            <color indexed="8"/>
            <rFont val="Nimbus Roman No9 L"/>
            <family val="1"/>
          </rPr>
          <t>Volume obtained using wt in air and wt in water method using Dasaro's tank.
Performed by Light on 08/04/00</t>
        </r>
      </text>
    </comment>
    <comment ref="L114" authorId="0">
      <text>
        <r>
          <rPr>
            <b/>
            <sz val="8"/>
            <color indexed="8"/>
            <rFont val="Nimbus Roman No9 L"/>
            <family val="1"/>
          </rPr>
          <t xml:space="preserve">Russ Light:
</t>
        </r>
        <r>
          <rPr>
            <sz val="8"/>
            <color indexed="8"/>
            <rFont val="Nimbus Roman No9 L"/>
            <family val="1"/>
          </rPr>
          <t>From Welch e-mail on 7/3/00, derived from Solidworks dwg</t>
        </r>
      </text>
    </comment>
    <comment ref="J115" authorId="0">
      <text>
        <r>
          <rPr>
            <b/>
            <sz val="8"/>
            <color indexed="8"/>
            <rFont val="Nimbus Roman No9 L"/>
            <family val="1"/>
          </rPr>
          <t xml:space="preserve">Russ Light:
</t>
        </r>
        <r>
          <rPr>
            <sz val="8"/>
            <color indexed="8"/>
            <rFont val="Nimbus Roman No9 L"/>
            <family val="1"/>
          </rPr>
          <t>Volume obtained using wt in air and wt in water method using Dasaro's tank.
Performed by Light on 08/04/00</t>
        </r>
      </text>
    </comment>
    <comment ref="L115" authorId="0">
      <text>
        <r>
          <rPr>
            <b/>
            <sz val="8"/>
            <color indexed="8"/>
            <rFont val="Nimbus Roman No9 L"/>
            <family val="1"/>
          </rPr>
          <t xml:space="preserve">Russ Light:
</t>
        </r>
        <r>
          <rPr>
            <sz val="8"/>
            <color indexed="8"/>
            <rFont val="Nimbus Roman No9 L"/>
            <family val="1"/>
          </rPr>
          <t>From Welch e-mail on 7/3/00, derived from Solidworks dwg</t>
        </r>
      </text>
    </comment>
    <comment ref="J128" authorId="0">
      <text>
        <r>
          <rPr>
            <b/>
            <sz val="8"/>
            <color indexed="8"/>
            <rFont val="Nimbus Roman No9 L"/>
            <family val="1"/>
          </rPr>
          <t xml:space="preserve">mike johnson:
</t>
        </r>
        <r>
          <rPr>
            <sz val="8"/>
            <color indexed="8"/>
            <rFont val="Nimbus Roman No9 L"/>
            <family val="1"/>
          </rPr>
          <t>Calculated from OEM specs</t>
        </r>
      </text>
    </comment>
    <comment ref="C147" authorId="0">
      <text>
        <r>
          <rPr>
            <b/>
            <sz val="8"/>
            <color indexed="8"/>
            <rFont val="Nimbus Roman No9 L"/>
            <family val="1"/>
          </rPr>
          <t xml:space="preserve">mike johnson:
</t>
        </r>
        <r>
          <rPr>
            <sz val="8"/>
            <color indexed="8"/>
            <rFont val="Nimbus Roman No9 L"/>
            <family val="1"/>
          </rPr>
          <t>Variable oil removed from weight roll up.</t>
        </r>
      </text>
    </comment>
    <comment ref="J149" authorId="0">
      <text>
        <r>
          <rPr>
            <b/>
            <sz val="8"/>
            <color indexed="8"/>
            <rFont val="Nimbus Roman No9 L"/>
            <family val="1"/>
          </rPr>
          <t xml:space="preserve">mike johnson:
</t>
        </r>
        <r>
          <rPr>
            <sz val="8"/>
            <color indexed="8"/>
            <rFont val="Nimbus Roman No9 L"/>
            <family val="1"/>
          </rPr>
          <t>Volume taken from Solidworks model 49815-F.
Internal features / thru holes removed to create a solid part.</t>
        </r>
      </text>
    </comment>
    <comment ref="F175" authorId="0">
      <text>
        <r>
          <rPr>
            <sz val="8"/>
            <color indexed="8"/>
            <rFont val="Nimbus Roman No9 L"/>
            <family val="1"/>
          </rPr>
          <t>Includes Oil</t>
        </r>
      </text>
    </comment>
    <comment ref="J175" authorId="0">
      <text>
        <r>
          <rPr>
            <b/>
            <sz val="8"/>
            <color indexed="8"/>
            <rFont val="Nimbus Roman No9 L"/>
            <family val="1"/>
          </rPr>
          <t xml:space="preserve">Jim Osse:
</t>
        </r>
        <r>
          <rPr>
            <sz val="8"/>
            <color indexed="8"/>
            <rFont val="Nimbus Roman No9 L"/>
            <family val="1"/>
          </rPr>
          <t xml:space="preserve">incl vol of bladder at spec grav of 1.0
</t>
        </r>
      </text>
    </comment>
    <comment ref="B294" authorId="0">
      <text>
        <r>
          <rPr>
            <b/>
            <sz val="8"/>
            <color indexed="8"/>
            <rFont val="Nimbus Roman No9 L"/>
            <family val="1"/>
          </rPr>
          <t xml:space="preserve">mike johnson:
</t>
        </r>
        <r>
          <rPr>
            <sz val="8"/>
            <color indexed="8"/>
            <rFont val="Nimbus Roman No9 L"/>
            <family val="1"/>
          </rPr>
          <t>Higlighted are moving mass</t>
        </r>
      </text>
    </comment>
    <comment ref="G95" authorId="0">
      <text>
        <r>
          <rPr>
            <b/>
            <sz val="8"/>
            <color indexed="8"/>
            <rFont val="Nimbus Roman No9 L"/>
            <family val="1"/>
          </rPr>
          <t>Mike Johnson:
15 may 2008
70.18" LCG computed from solidworks model for 12" TTI antenna mast assy.  Includes all components</t>
        </r>
      </text>
    </comment>
    <comment ref="J95" authorId="0">
      <text>
        <r>
          <rPr>
            <b/>
            <sz val="8"/>
            <color indexed="8"/>
            <rFont val="Nimbus Roman No9 L"/>
            <family val="1"/>
          </rPr>
          <t xml:space="preserve">mike johnson:
</t>
        </r>
        <r>
          <rPr>
            <sz val="8"/>
            <color indexed="8"/>
            <rFont val="Nimbus Roman No9 L"/>
            <family val="1"/>
          </rPr>
          <t>1/29/2008
Volume calculated with all components using solidworks models</t>
        </r>
      </text>
    </comment>
    <comment ref="L95" authorId="0">
      <text>
        <r>
          <rPr>
            <b/>
            <sz val="8"/>
            <color indexed="8"/>
            <rFont val="Nimbus Roman No9 L"/>
            <family val="1"/>
          </rPr>
          <t xml:space="preserve">mike johnson:
</t>
        </r>
        <r>
          <rPr>
            <sz val="8"/>
            <color indexed="8"/>
            <rFont val="Nimbus Roman No9 L"/>
            <family val="1"/>
          </rPr>
          <t xml:space="preserve">1/29/2008
Assume same as LCG </t>
        </r>
      </text>
    </comment>
    <comment ref="J87" authorId="1">
      <text>
        <r>
          <rPr>
            <b/>
            <sz val="8"/>
            <rFont val="Tahoma"/>
            <family val="0"/>
          </rPr>
          <t>mike johnson:</t>
        </r>
        <r>
          <rPr>
            <sz val="8"/>
            <rFont val="Tahoma"/>
            <family val="0"/>
          </rPr>
          <t xml:space="preserve">
changed to polycarb rudder 12/9/08</t>
        </r>
      </text>
    </comment>
  </commentList>
</comments>
</file>

<file path=xl/comments9.xml><?xml version="1.0" encoding="utf-8"?>
<comments xmlns="http://schemas.openxmlformats.org/spreadsheetml/2006/main">
  <authors>
    <author/>
  </authors>
  <commentList>
    <comment ref="B8" authorId="0">
      <text>
        <r>
          <rPr>
            <sz val="8"/>
            <color indexed="8"/>
            <rFont val="Nimbus Roman No9 L"/>
            <family val="1"/>
          </rPr>
          <t>Russ Light (~2000?):</t>
        </r>
        <r>
          <rPr>
            <b/>
            <sz val="8"/>
            <color indexed="8"/>
            <rFont val="Nimbus Roman No9 L"/>
            <family val="1"/>
          </rPr>
          <t xml:space="preserve"> </t>
        </r>
        <r>
          <rPr>
            <sz val="8"/>
            <color indexed="8"/>
            <rFont val="Nimbus Roman No9 L"/>
            <family val="1"/>
          </rPr>
          <t>Using an in air and in water weight for aft fairing calculated the volume.  Then calculated the density of 1.5384 from this volume and in air weight. (2006) Jim O finds this varies between ~ 1.45 &amp; ~1.65 from DG work.
Osse note 1/15/07; suggest using  1.43 as startign density for fiberglass based on average of SG 101 to SG 110 post field deployment data</t>
        </r>
      </text>
    </comment>
    <comment ref="B13" authorId="0">
      <text>
        <r>
          <rPr>
            <b/>
            <sz val="8"/>
            <color indexed="8"/>
            <rFont val="Nimbus Roman No9 L"/>
            <family val="1"/>
          </rPr>
          <t xml:space="preserve">Jim Osse:
</t>
        </r>
        <r>
          <rPr>
            <sz val="8"/>
            <color indexed="8"/>
            <rFont val="Nimbus Roman No9 L"/>
            <family val="1"/>
          </rPr>
          <t>0.672 gm/cc per Lehman test on 5/28/02 on wing#23</t>
        </r>
      </text>
    </comment>
  </commentList>
</comments>
</file>

<file path=xl/sharedStrings.xml><?xml version="1.0" encoding="utf-8"?>
<sst xmlns="http://schemas.openxmlformats.org/spreadsheetml/2006/main" count="1402" uniqueCount="970">
  <si>
    <t>Calibrated compass -  12/5/08</t>
  </si>
  <si>
    <t>Port Susan check out flight - 12/10-12/11</t>
  </si>
  <si>
    <t>Epoxy filled "scratches" on forward fairing</t>
  </si>
  <si>
    <t>Replaced carbon fiber rudder with polycarbonate rudder</t>
  </si>
  <si>
    <t>Installed inserts for externally attachable wings</t>
  </si>
  <si>
    <t>Purged excess air from VBD reservoir</t>
  </si>
  <si>
    <t>Amp w/full mass shifter assy. orientation - nose down, full lift</t>
  </si>
  <si>
    <t>SG SN</t>
  </si>
  <si>
    <t>Amp w/main pump and oil (no load on bench) (mA):</t>
  </si>
  <si>
    <t>100-cycle average time (sec):</t>
  </si>
  <si>
    <t>100-cycle avg. current (mA)</t>
  </si>
  <si>
    <t>100-cycle avg. current peak  (mA)</t>
  </si>
  <si>
    <t>Replaced TT8 (drew high current after AAE reflash)</t>
  </si>
  <si>
    <t>Fwd Fairing assy scale wt:</t>
  </si>
  <si>
    <t>Aft fairing assy scale wt:</t>
  </si>
  <si>
    <t>Fairing screws scale wt:</t>
  </si>
  <si>
    <t>Total glider wt by assy scale wts:</t>
  </si>
  <si>
    <t>Pupa assy scale wt:</t>
  </si>
  <si>
    <t>post PS by sum of assys on kirks scale 12/16</t>
  </si>
  <si>
    <t>43f-0092</t>
  </si>
  <si>
    <t>Wing, Starboard 1.5m - sent 27 Jan 09</t>
  </si>
  <si>
    <t>Wing, Port 1.5m - sent 27 Jan 09</t>
  </si>
  <si>
    <t>Wing, Starboard - 1m, internal mnt</t>
  </si>
  <si>
    <t>Wing, Port - 1m, internal mnt</t>
  </si>
  <si>
    <t>Model #</t>
  </si>
  <si>
    <t>Serial #</t>
  </si>
  <si>
    <t>Calibration date</t>
  </si>
  <si>
    <t>A/D Gain</t>
  </si>
  <si>
    <t>PSI = Slope *AD_Count + Y_Intercept</t>
  </si>
  <si>
    <t>Atmos @ cal.</t>
  </si>
  <si>
    <t>Temp @ cal.</t>
  </si>
  <si>
    <t>Psig/AD count</t>
  </si>
  <si>
    <t>Calibrated Slope</t>
  </si>
  <si>
    <t>(either PresCal-B49 or PreCal-I56)</t>
  </si>
  <si>
    <t>Cal. Y-Intercept</t>
  </si>
  <si>
    <t>(Changed each time sensor set for “sealevel”)</t>
  </si>
  <si>
    <t>Depth Offset</t>
  </si>
  <si>
    <t>Meters</t>
  </si>
  <si>
    <t>Conversion Factor</t>
  </si>
  <si>
    <t>0.685 psig/meter</t>
  </si>
  <si>
    <t>Internal Pressure</t>
  </si>
  <si>
    <t>Compass</t>
  </si>
  <si>
    <t>Manufactuer</t>
  </si>
  <si>
    <t>Sparton</t>
  </si>
  <si>
    <t>Model number</t>
  </si>
  <si>
    <t>SP3003D</t>
  </si>
  <si>
    <t>Serial Number</t>
  </si>
  <si>
    <t>C143</t>
  </si>
  <si>
    <t>Compass SW version #</t>
  </si>
  <si>
    <t>Compass carier PCB</t>
  </si>
  <si>
    <t>CF card dumped to Config folder, old data &amp; battery files deleted, battery guage/file reset to 0,</t>
  </si>
  <si>
    <t>Upgraded AAE firmware to 3.061</t>
  </si>
  <si>
    <t>ver 3.061</t>
  </si>
  <si>
    <t>replaced 12/05/08</t>
  </si>
  <si>
    <t>BB2F-VMG</t>
  </si>
  <si>
    <t>E=</t>
  </si>
  <si>
    <t>Tau20</t>
  </si>
  <si>
    <t>14.70, RH 30.28</t>
  </si>
  <si>
    <t>9.68, RH 29.0</t>
  </si>
  <si>
    <t>start</t>
  </si>
  <si>
    <t>end</t>
  </si>
  <si>
    <t xml:space="preserve">Finished refurb - changed both battery packs, </t>
  </si>
  <si>
    <t>Antenna Assembly GPSI (All parts) - short w/Ti pins</t>
  </si>
  <si>
    <t>port/upper</t>
  </si>
  <si>
    <t>strbrd/lower</t>
  </si>
  <si>
    <t>Changed wings for best pair from boxes with spares</t>
  </si>
  <si>
    <t xml:space="preserve">Changed SBE 43F sensor with one that came back from calibration - was on SG146/8. now SN </t>
  </si>
  <si>
    <t>Rev 66.04/1579?  - Nov 2008</t>
  </si>
  <si>
    <t>Polycarbonate</t>
  </si>
  <si>
    <t>Changed out rudder - too chipped to really use - now polycarb</t>
  </si>
  <si>
    <t xml:space="preserve">Back to Port Susan after new batteries: </t>
  </si>
  <si>
    <t>from PS Dec 08</t>
  </si>
  <si>
    <t>from Port Susan 12/11/08</t>
  </si>
  <si>
    <t>total for ocean</t>
  </si>
  <si>
    <t>current</t>
  </si>
  <si>
    <t>change/add for ocean</t>
  </si>
  <si>
    <t>noon</t>
  </si>
  <si>
    <t>FS/GB</t>
  </si>
  <si>
    <t xml:space="preserve">Glider Refurbishment </t>
  </si>
  <si>
    <t>Powered up glider and ran hardware check out - glider in working order</t>
  </si>
  <si>
    <t>10V battery replaced (standard pack)</t>
  </si>
  <si>
    <t>24V battery replaced (standard pack)</t>
  </si>
  <si>
    <t>Re-lubed gears with Blue Moly</t>
  </si>
  <si>
    <t>Passed 100 cycle pitch test (see motor data tab)</t>
  </si>
  <si>
    <t>Re-assembled pupa</t>
  </si>
  <si>
    <t>Ran hardware check out - passed</t>
  </si>
  <si>
    <t>Updated spreadsheet with new batt wts, etc</t>
  </si>
  <si>
    <t>Re-ballasted for Port Susan</t>
  </si>
  <si>
    <t>Reballast for open ocean</t>
  </si>
  <si>
    <t>Glider returned to Seattle Nov 08</t>
  </si>
  <si>
    <t>Updated code to Rev 66.04</t>
  </si>
  <si>
    <t>Re-lubed ballscrew and rails with High Slip</t>
  </si>
  <si>
    <t>CT removed and sent to calibration (SN 0066)</t>
  </si>
  <si>
    <t>SBE43f O2 removed and sent to calibration (SN0092)</t>
  </si>
  <si>
    <t>Cond PCB SN</t>
  </si>
  <si>
    <t>Conductivity Calibration Coefficients</t>
  </si>
  <si>
    <t>Temperature Calibration Coefficients</t>
  </si>
  <si>
    <t>g =</t>
  </si>
  <si>
    <t>h =</t>
  </si>
  <si>
    <t>i =</t>
  </si>
  <si>
    <t>j =</t>
  </si>
  <si>
    <t>Cpcor (nom) =</t>
  </si>
  <si>
    <t>f0 =</t>
  </si>
  <si>
    <t>Ctcor (nom) =</t>
  </si>
  <si>
    <t>Optical Sensor(s)</t>
  </si>
  <si>
    <t xml:space="preserve">   </t>
  </si>
  <si>
    <t>WET Labs</t>
  </si>
  <si>
    <t>Dissolved Oxygen Sensor</t>
  </si>
  <si>
    <t>SeaBird</t>
  </si>
  <si>
    <t>Sea-Bird 43f coefficients</t>
  </si>
  <si>
    <t xml:space="preserve">43f </t>
  </si>
  <si>
    <t xml:space="preserve">Soc = </t>
  </si>
  <si>
    <t>Foffset=</t>
  </si>
  <si>
    <t>Boc=</t>
  </si>
  <si>
    <t>Tcor=</t>
  </si>
  <si>
    <t>Pcor=</t>
  </si>
  <si>
    <t>A=</t>
  </si>
  <si>
    <t>B=</t>
  </si>
  <si>
    <t>C=</t>
  </si>
  <si>
    <t>SEAGLIDER - Trim and Balance</t>
  </si>
  <si>
    <t>SG</t>
  </si>
  <si>
    <t>Spreadsheet Usage Notes from Russ Light</t>
  </si>
  <si>
    <t xml:space="preserve">Comments: </t>
  </si>
  <si>
    <t>Enter data only where font is RED</t>
  </si>
  <si>
    <t>Density Trim</t>
  </si>
  <si>
    <t>Total Weight (in air), summed items</t>
  </si>
  <si>
    <t>gm</t>
  </si>
  <si>
    <t>Total Scale Weight</t>
  </si>
  <si>
    <t>Calibration Sheet for SEAGLIDER</t>
  </si>
  <si>
    <t>Serial No.</t>
  </si>
  <si>
    <t>Date:</t>
  </si>
  <si>
    <t>(master to all sheets)</t>
  </si>
  <si>
    <t>Time:</t>
  </si>
  <si>
    <t>Software Revision</t>
  </si>
  <si>
    <t>Pitch Mass</t>
  </si>
  <si>
    <t>Last updated</t>
  </si>
  <si>
    <t>Comments</t>
  </si>
  <si>
    <t>Headroom</t>
  </si>
  <si>
    <t>AD counts</t>
  </si>
  <si>
    <t>Hardware Limit (counts)</t>
  </si>
  <si>
    <t>Software Limit (counts)</t>
  </si>
  <si>
    <t>cm travel*</t>
  </si>
  <si>
    <t>Minimum (full forward)</t>
  </si>
  <si>
    <t>Maximum (full aft)</t>
  </si>
  <si>
    <t>Stroke Length</t>
  </si>
  <si>
    <t xml:space="preserve"> Pitch Center</t>
  </si>
  <si>
    <t>(as defined by $C_PITCH)</t>
  </si>
  <si>
    <t>(15.32 cm full stroke)</t>
  </si>
  <si>
    <t>Conversion constant</t>
  </si>
  <si>
    <t>cm per AD</t>
  </si>
  <si>
    <t>($PITCH_CNV)</t>
  </si>
  <si>
    <t>(conversion inverse)</t>
  </si>
  <si>
    <t>AD per cm</t>
  </si>
  <si>
    <t>*equation</t>
  </si>
  <si>
    <t>cm = (AD –center)* conversion factor (cm/AD)</t>
  </si>
  <si>
    <t>(-) cm is fwd of center, (+) cm is aft of center</t>
  </si>
  <si>
    <t>Roll Mass</t>
  </si>
  <si>
    <t>degrees roll*</t>
  </si>
  <si>
    <t>Full roll to port</t>
  </si>
  <si>
    <t>Full roll to starboard</t>
  </si>
  <si>
    <t>Dive Roll Center</t>
  </si>
  <si>
    <t>($C_ROLL_DIVE)</t>
  </si>
  <si>
    <t>Climb Roll Center</t>
  </si>
  <si>
    <t>($C_ROLL_CLIMB)</t>
  </si>
  <si>
    <t>degree per AD</t>
  </si>
  <si>
    <t>($ROLL_CONV)</t>
  </si>
  <si>
    <t>AD per degree</t>
  </si>
  <si>
    <t>*Equation:</t>
  </si>
  <si>
    <t>deg=(AD-center) * conversion factor</t>
  </si>
  <si>
    <t>Variable Buoyancy Drive (VBD)</t>
  </si>
  <si>
    <t>LeDuc Pump SN</t>
  </si>
  <si>
    <t>032</t>
  </si>
  <si>
    <t>Boost Pump SN</t>
  </si>
  <si>
    <t>cm3 (cc) oil*</t>
  </si>
  <si>
    <t>$VBD_Min (Ext Bladder full)</t>
  </si>
  <si>
    <t>$VBD_Max (Ext Bladder empty)</t>
  </si>
  <si>
    <t>Total movable oil volume</t>
  </si>
  <si>
    <t>Neutral Trim (from Ballast sheet)</t>
  </si>
  <si>
    <t>($C_VBD for neutral)</t>
  </si>
  <si>
    <t>(nomially 0 at spec rho)</t>
  </si>
  <si>
    <t>cc per AD</t>
  </si>
  <si>
    <t>$VBD_CNV</t>
  </si>
  <si>
    <t>AD per cc</t>
  </si>
  <si>
    <t>*equation:</t>
  </si>
  <si>
    <t>cc oil=(AD@neutral trim)* conv. factor (cc/counts)</t>
  </si>
  <si>
    <t>(1 cc oil = 1.025 g buoyancy)</t>
  </si>
  <si>
    <t>Pressure Sensor</t>
  </si>
  <si>
    <t>(all values fed from press-cal worksheet including date)</t>
  </si>
  <si>
    <t>Values from Pres Cal sht</t>
  </si>
  <si>
    <t>Manufacturer</t>
  </si>
  <si>
    <t>Weight</t>
  </si>
  <si>
    <t>LCG</t>
  </si>
  <si>
    <t>Volume</t>
  </si>
  <si>
    <t>Total Vol</t>
  </si>
  <si>
    <t>LCB</t>
  </si>
  <si>
    <t>VCG&amp;B</t>
  </si>
  <si>
    <t>VCG</t>
  </si>
  <si>
    <t>VCB</t>
  </si>
  <si>
    <t>Assy. Level</t>
  </si>
  <si>
    <t>Description</t>
  </si>
  <si>
    <t>(or Assy Wt)</t>
  </si>
  <si>
    <t>grams</t>
  </si>
  <si>
    <t>inch</t>
  </si>
  <si>
    <t>gm-cm</t>
  </si>
  <si>
    <t>cc-cm</t>
  </si>
  <si>
    <t xml:space="preserve">Complete fairing &amp; antenna </t>
  </si>
  <si>
    <t>Subtotal (summed) Weight</t>
  </si>
  <si>
    <t>Scale Weight</t>
  </si>
  <si>
    <t>Summed volume</t>
  </si>
  <si>
    <t>sum-diff's</t>
  </si>
  <si>
    <t>Complete pupa</t>
  </si>
  <si>
    <t>Total weights and volume - Flying SG - without adjustment</t>
  </si>
  <si>
    <t>Adjustment to reflect trims found in tank &amp; Port Susan</t>
  </si>
  <si>
    <t>Total weights and volume - Flying SG - adjusted, reported above</t>
  </si>
  <si>
    <t>Flying Seaglider</t>
  </si>
  <si>
    <t>(8x) 10-32 x 3/8 FHMS, joint ring to aft fairing</t>
  </si>
  <si>
    <t>(8x) 1/4-28 x 1/2 FHMS, Aft fairing to endcap</t>
  </si>
  <si>
    <t>Assy, Forward Fairing</t>
  </si>
  <si>
    <t>Subtotal Weight</t>
  </si>
  <si>
    <t>Forward Fairing</t>
  </si>
  <si>
    <t>Joint Ring, Fwd to Aft Fairing (bonded to fwd fairing before paint;  Long ring = 875g, short ring 688g )</t>
  </si>
  <si>
    <t>PN 52281 rev 1.2</t>
  </si>
  <si>
    <t>Sand Point Calibration Date</t>
  </si>
  <si>
    <t>TCM2MAT file creation date</t>
  </si>
  <si>
    <t>Main Board</t>
  </si>
  <si>
    <t>(52290=normal glider)</t>
  </si>
  <si>
    <t>Mainboard Revision</t>
  </si>
  <si>
    <t>B.4</t>
  </si>
  <si>
    <t>Mainboard Serial Number</t>
  </si>
  <si>
    <t>52290-032</t>
  </si>
  <si>
    <t>Computer Type</t>
  </si>
  <si>
    <t>TT8</t>
  </si>
  <si>
    <t>Onset Computers</t>
  </si>
  <si>
    <t>Computer Serial Number</t>
  </si>
  <si>
    <t>Disk system</t>
  </si>
  <si>
    <t>CF8V2</t>
  </si>
  <si>
    <t>Persistor Corp.</t>
  </si>
  <si>
    <t>1989</t>
  </si>
  <si>
    <t>Compact Flash Card Manu.</t>
  </si>
  <si>
    <t xml:space="preserve">Silicon Systems  </t>
  </si>
  <si>
    <t>CF card size</t>
  </si>
  <si>
    <t>256 MB</t>
  </si>
  <si>
    <t>CF card  serial/ID #</t>
  </si>
  <si>
    <t>SSD-C25MI-3005</t>
  </si>
  <si>
    <t>Watchdog (PIC) setting (min)</t>
  </si>
  <si>
    <t>10 min</t>
  </si>
  <si>
    <t>(10min = dips 2&amp;4 on)</t>
  </si>
  <si>
    <t>OEM Board &amp; Sub-systems</t>
  </si>
  <si>
    <t>OEM Board Serial Number</t>
  </si>
  <si>
    <t>SFC-OEM-040</t>
  </si>
  <si>
    <t>GPS Manufacturer</t>
  </si>
  <si>
    <t>Garmin</t>
  </si>
  <si>
    <t>GPS Model Number</t>
  </si>
  <si>
    <t>15H-W</t>
  </si>
  <si>
    <t>GPS Serial Number</t>
  </si>
  <si>
    <t>GPSI Antenna SN</t>
  </si>
  <si>
    <t>059</t>
  </si>
  <si>
    <t>(fab by Ocean Eng Services)</t>
  </si>
  <si>
    <t>DC-DC converter SN</t>
  </si>
  <si>
    <t>15749A621</t>
  </si>
  <si>
    <t>Transducer Manu.</t>
  </si>
  <si>
    <t>ITC</t>
  </si>
  <si>
    <t>Transducer Model</t>
  </si>
  <si>
    <t>Transducer SN</t>
  </si>
  <si>
    <t>Acoustic Transponder</t>
  </si>
  <si>
    <t>AAE</t>
  </si>
  <si>
    <t>Model</t>
  </si>
  <si>
    <t>Main-board SN</t>
  </si>
  <si>
    <t>041</t>
  </si>
  <si>
    <t>Sub-board SN</t>
  </si>
  <si>
    <t>291</t>
  </si>
  <si>
    <t>AAE software ver #</t>
  </si>
  <si>
    <t>Interrogate Frequency</t>
  </si>
  <si>
    <t>KHz</t>
  </si>
  <si>
    <t>Reply Frequency</t>
  </si>
  <si>
    <t>DIP switch settings</t>
  </si>
  <si>
    <t>9/D</t>
  </si>
  <si>
    <t>(sw-1/sw-2)</t>
  </si>
  <si>
    <t>Iridium Modem</t>
  </si>
  <si>
    <t>9522A</t>
  </si>
  <si>
    <t>IMEI Number</t>
  </si>
  <si>
    <t>300224010901010</t>
  </si>
  <si>
    <t>SIM Card Owner</t>
  </si>
  <si>
    <t>Univ of Hawaii</t>
  </si>
  <si>
    <t>SIM Card SN</t>
  </si>
  <si>
    <t>8988169414000843571</t>
  </si>
  <si>
    <t>SBE C and T Sensors</t>
  </si>
  <si>
    <t>Temp PCB SN</t>
  </si>
  <si>
    <t>49896</t>
  </si>
  <si>
    <t>(8x) 10-32 x 1/2 PHMS PH + #10 FW + #10 LW, wings to fairing</t>
  </si>
  <si>
    <t>55241 / 55242</t>
  </si>
  <si>
    <t>Rudder</t>
  </si>
  <si>
    <t>(2x) 1/4-20 x 2" FHMS, rudder to rudder shoe</t>
  </si>
  <si>
    <t>Trim lead at rudder tube (5" strip)</t>
  </si>
  <si>
    <t>Trim Lead Tape</t>
  </si>
  <si>
    <t>Assy.,  Antenna</t>
  </si>
  <si>
    <t>52336 / 52341 / 52454 / 52476 / 55361</t>
  </si>
  <si>
    <t>NA</t>
  </si>
  <si>
    <t>Cap (DGO protector during build - do not weigh)</t>
  </si>
  <si>
    <t>Assy., Aanderaa Optode Oxygen Sensor</t>
  </si>
  <si>
    <t>O2 Sensor Assy. (Aanderaa optode, mount base, mount leg, SS hose clamp, (4x) 10-32 x 1/2 FHMS)</t>
  </si>
  <si>
    <t>52220 / 52485 / 52486 / 55239 / 55321</t>
  </si>
  <si>
    <t>O2 Sensor Cable Assembly</t>
  </si>
  <si>
    <t>Assy., SBE 43f Oxygen Sensor</t>
  </si>
  <si>
    <t>O2 Sensor Assy. (O2 sensor, Plenum, (2x) 6-32 x 5/8 SHCS - flow tube to sensor, (2x) O2 clamp, (4x) 6-32 x 1/2 FHMS - clamp to aft fairing)</t>
  </si>
  <si>
    <t>52356 / 52501 / 55214 / 52311 / 55210</t>
  </si>
  <si>
    <t>Plug assy, SBE 43f plenum</t>
  </si>
  <si>
    <t>Assy., WET Labs Optical</t>
  </si>
  <si>
    <t>Weight difference/"error"</t>
  </si>
  <si>
    <t>Variable wt, including nose-wt-plates</t>
  </si>
  <si>
    <t>Displaced Volume, measured in tank</t>
  </si>
  <si>
    <t>cc</t>
  </si>
  <si>
    <t>diff</t>
  </si>
  <si>
    <t>see Ballast worksheet for more volume details</t>
  </si>
  <si>
    <t>Displaced Volume, summed items</t>
  </si>
  <si>
    <t>Water Density</t>
  </si>
  <si>
    <t>gm/cc</t>
  </si>
  <si>
    <t>Net Buoyancy (relative to neutral, positive floats, no thrust)</t>
  </si>
  <si>
    <t>predicted using this spreadsheet, actual may vary!</t>
  </si>
  <si>
    <t>Internal Oil Stroke (100% is all inside, ext. bladder empty)</t>
  </si>
  <si>
    <t>A/D counts</t>
  </si>
  <si>
    <t>(input %, not counts)</t>
  </si>
  <si>
    <t>($PITCH_VBD_SHIFT)</t>
  </si>
  <si>
    <t xml:space="preserve"> cm per cc</t>
  </si>
  <si>
    <t xml:space="preserve">Pitch &amp; Roll Trim </t>
  </si>
  <si>
    <t>Longitudinal CG</t>
  </si>
  <si>
    <t>cm</t>
  </si>
  <si>
    <t>inches</t>
  </si>
  <si>
    <t>Longitudinal CB</t>
  </si>
  <si>
    <t>Pitch-mass Stroke (100% is fully aft, nominal is 70%)</t>
  </si>
  <si>
    <t>Pitch-mass (batt) Location</t>
  </si>
  <si>
    <t>Vehicle Pitch Angle (positive is nose up)</t>
  </si>
  <si>
    <t>deg</t>
  </si>
  <si>
    <t>(goal is change of 15-20 deg per cm travel, use goal-seek on Location by +/-1cm to test)</t>
  </si>
  <si>
    <t>Vertical CG (VCG)</t>
  </si>
  <si>
    <t>(goal is ~ -0.56 from prior builds)</t>
  </si>
  <si>
    <t>Computed VCB</t>
  </si>
  <si>
    <t>(goal is ~0.05 from prior builds)</t>
  </si>
  <si>
    <t>VCB-VCG Separation</t>
  </si>
  <si>
    <t>(goal is ~0.61 from prior builds)</t>
  </si>
  <si>
    <t>Roll-mass (batt) Angle</t>
  </si>
  <si>
    <t>Vehicle Roll Angle</t>
  </si>
  <si>
    <t>(goal is 20 deg Vehicle roll per 40 deg Battery Roll, but eqn had circular reference, now repl w/"20")</t>
  </si>
  <si>
    <t>Total</t>
  </si>
  <si>
    <t>Moment</t>
  </si>
  <si>
    <t>Assy.</t>
  </si>
  <si>
    <t>Part #</t>
  </si>
  <si>
    <t>Qty</t>
  </si>
  <si>
    <t>O-Ring, E70-270,  Bulkhead to batt. hull</t>
  </si>
  <si>
    <t>(4x / 4x) 6-32 x 1/2 SHCS w/ LW + 6-32 x 5/8 with zincs, bulkhead to battery hull</t>
  </si>
  <si>
    <t>(4x) 6-32 x 1/2 SHCS + #6 LW, rails to bulkhead</t>
  </si>
  <si>
    <t>55183 / 55217</t>
  </si>
  <si>
    <t>O-Ring, E70-263, elec hull to bulkhead</t>
  </si>
  <si>
    <t>(8x) 6-32 x 1/2 SHCS + #6 LW, elec hull to bulkhead</t>
  </si>
  <si>
    <t>Assy., Aft Endcap</t>
  </si>
  <si>
    <t>Hydraulic oil:                                                               End Cap Without Oil</t>
  </si>
  <si>
    <t xml:space="preserve"> End Cap With Oil</t>
  </si>
  <si>
    <t>Oil Added To System</t>
  </si>
  <si>
    <t>Volume of Oil In System</t>
  </si>
  <si>
    <t>Assy., Hydraulics drive system</t>
  </si>
  <si>
    <t>Endcap, Aft</t>
  </si>
  <si>
    <t>49815</t>
  </si>
  <si>
    <t>(2x) Roll pin, 5/32 OD x 3/8, Pump anti rotation</t>
  </si>
  <si>
    <t>Connector, Male, 1/8 NPT x 1/4 tube, alum</t>
  </si>
  <si>
    <t>52432</t>
  </si>
  <si>
    <t>Connector, Male, 1/8 NPT x 1/4 tube, SS</t>
  </si>
  <si>
    <t>52429</t>
  </si>
  <si>
    <t>Assy, Solenoid Valve, Skinner</t>
  </si>
  <si>
    <t>52254</t>
  </si>
  <si>
    <t>Adaptor, Male, 1/8 NPT x 1/4 M, SS</t>
  </si>
  <si>
    <t>52430</t>
  </si>
  <si>
    <t>Branch Tee, Male, 1/4 tube x 1/8 NPT x 1/4 tube, alum</t>
  </si>
  <si>
    <t>52433</t>
  </si>
  <si>
    <t>Tubing, 1/4 DIA x 8"</t>
  </si>
  <si>
    <t>52419</t>
  </si>
  <si>
    <t>Tubing, 1/4 Dia x 6.0"</t>
  </si>
  <si>
    <t>Check Valve, Kepner 204 A-1</t>
  </si>
  <si>
    <t>52448</t>
  </si>
  <si>
    <t>Union Elbow, Male, 1/4 tube x 1/4 tube, alum</t>
  </si>
  <si>
    <t>52435</t>
  </si>
  <si>
    <t>Tubing, 1/4 DIA x 9.625"</t>
  </si>
  <si>
    <t>Run Tee, Male,1/4 tube x 1/4 tube x 1/8 NPT, alum</t>
  </si>
  <si>
    <t>52428</t>
  </si>
  <si>
    <t>Tubing, 1/4 Dia x 4.375"</t>
  </si>
  <si>
    <t>Seal Washer</t>
  </si>
  <si>
    <t>LeDuc Output Screw</t>
  </si>
  <si>
    <t>Nose weight (bonded to fwd fairing after paint)</t>
  </si>
  <si>
    <t>Nose weight plates</t>
  </si>
  <si>
    <t>(2x) 1/4-20 x 2" SHCS + 1/4 LW  brass, nose plate to nose base (4 - 5 plates)</t>
  </si>
  <si>
    <t>55186 / 55253</t>
  </si>
  <si>
    <t>(2x) 1/4-20 x 1.5" SHCS + 1/4 LW  brass, nose plate to nose base (2 -3 plates)</t>
  </si>
  <si>
    <t>55185 / 55253</t>
  </si>
  <si>
    <t>(2x) 1/4-20 x .75" SHCS + 1/4 LW  brass, nose plate to nose base (1 plate)</t>
  </si>
  <si>
    <t>55473 / 55253</t>
  </si>
  <si>
    <t>Trim Lead at ring - bottom (5" strip)</t>
  </si>
  <si>
    <t>52442 / 55487</t>
  </si>
  <si>
    <t>Trim Lead at ring - port side (5" strip)</t>
  </si>
  <si>
    <t>52490 / 55488</t>
  </si>
  <si>
    <t>Trim Lead at ring - starboard side (5" strip)</t>
  </si>
  <si>
    <t>Trim Lead at ring - top (5" strip)</t>
  </si>
  <si>
    <t>Trim Lead tape at ring (2.3g per 5.75"pc dbl-stick tape, 2.6g per 6"pc duct tape)</t>
  </si>
  <si>
    <t>55298 / 55406</t>
  </si>
  <si>
    <t>Trim Lead in middle - bottom (5" strip)</t>
  </si>
  <si>
    <t>Trim Lead tape in middle</t>
  </si>
  <si>
    <t>wt. goal</t>
  </si>
  <si>
    <t>currently at</t>
  </si>
  <si>
    <t>Assy., Aft Fairing</t>
  </si>
  <si>
    <t>Aft Fairing</t>
  </si>
  <si>
    <t>Position F (Spare):  IE55 w/ o-ring</t>
  </si>
  <si>
    <t>Iridium/GPS Ant., conn/o-ring/ CA W5, J2</t>
  </si>
  <si>
    <t>52241</t>
  </si>
  <si>
    <t xml:space="preserve"> Vacuum/pressure relief valve (deep sea power)</t>
  </si>
  <si>
    <t>52449</t>
  </si>
  <si>
    <t>Pump Plate, Inner</t>
  </si>
  <si>
    <t>Assy, Main pump motor w/ CA W8,W18</t>
  </si>
  <si>
    <t>(3x) M2 x 6 FHMS  (motor to interface plate)</t>
  </si>
  <si>
    <t>Bore Reducer</t>
  </si>
  <si>
    <t>52351</t>
  </si>
  <si>
    <t>Pulley, LeDuc pump motor</t>
  </si>
  <si>
    <t>(6x) 4-40 x 3/8 FHMS, hyd end cap to inner plate</t>
  </si>
  <si>
    <t>55229</t>
  </si>
  <si>
    <t>Pulley, LeDuc pump</t>
  </si>
  <si>
    <t>Timing Belt</t>
  </si>
  <si>
    <t>52357</t>
  </si>
  <si>
    <t>Pump Plate, Outer</t>
  </si>
  <si>
    <t>(4x) 4-40 x 3/16 SHCS + #4 LW, outer plate to inner plate</t>
  </si>
  <si>
    <t>55296</t>
  </si>
  <si>
    <t>Assy., Boost Pump</t>
  </si>
  <si>
    <t>Pump Bracket</t>
  </si>
  <si>
    <t>Motor, Chrge Pump w/ W34</t>
  </si>
  <si>
    <t>52288</t>
  </si>
  <si>
    <t>(2x) M2 x 6 FHMS, motor to bracket</t>
  </si>
  <si>
    <t>55203</t>
  </si>
  <si>
    <t>Magnet Rotor Housing</t>
  </si>
  <si>
    <t>52457</t>
  </si>
  <si>
    <t>(4x) 6-32 x 1/4 PHMS, bracket to housing</t>
  </si>
  <si>
    <t>55209</t>
  </si>
  <si>
    <t>Rotary Magnet</t>
  </si>
  <si>
    <t>52455</t>
  </si>
  <si>
    <t xml:space="preserve">Pumphead, Micropump + mounting plate + (3x) 4-40 x 3/8 FHMS  </t>
  </si>
  <si>
    <t>52360 / 52456 / 55229</t>
  </si>
  <si>
    <t>(4x) 4-40 x 3/16 SHCS + #4 LW, housing to flange</t>
  </si>
  <si>
    <t>55296 / 55233</t>
  </si>
  <si>
    <t>(2x) Elbow, 1/8 npt x 1/4 tube, alum</t>
  </si>
  <si>
    <t>52431</t>
  </si>
  <si>
    <t>Filter, Balston</t>
  </si>
  <si>
    <t>52425</t>
  </si>
  <si>
    <t>Assy., Hydraulic Reservoir</t>
  </si>
  <si>
    <t>Piston, Diaphragm</t>
  </si>
  <si>
    <t>Diaphragm, Internal (Bellofram)</t>
  </si>
  <si>
    <t>52359</t>
  </si>
  <si>
    <t>Sikaflex Adhesive Compound</t>
  </si>
  <si>
    <t>55459</t>
  </si>
  <si>
    <t>Cylinder Head, Diaphragm</t>
  </si>
  <si>
    <t>Wet Labs sensor Assy. (WL BB2F-VMG sensor, (2x) sensor clamp, (2x) 8-32 x 5/8 FHMS - sensor clamp to fairing)</t>
  </si>
  <si>
    <t>52296 / 52312 / 55245</t>
  </si>
  <si>
    <t>Wet Labs sensor Assy. (WL Triplet sensor, (2x) Wet labs sensor clamp, (2x) 8-32 x 5/8 FHMS - sensor clamp to fairing)</t>
  </si>
  <si>
    <t>55381/ 52312 / 55245</t>
  </si>
  <si>
    <t>Cover, WL sensor used in shipping, modified</t>
  </si>
  <si>
    <t>55520</t>
  </si>
  <si>
    <t>Assy., Pupa</t>
  </si>
  <si>
    <t>Complete pupae volume - sum this sheet</t>
  </si>
  <si>
    <t>Position B (Spare):  IE55 dummy plug</t>
  </si>
  <si>
    <t>55309</t>
  </si>
  <si>
    <t>Position C (Optics Sensor / spare):  IE55 dummy plug</t>
  </si>
  <si>
    <t>Position D (Oxygen sensor / spare):  IE55 dummy plug</t>
  </si>
  <si>
    <t>Position E (Spare):  IE55 dummy plug</t>
  </si>
  <si>
    <t>Position F (Spare):  IE55 dummy plug</t>
  </si>
  <si>
    <t>O-Ring, E70-270, Endcap to Batt Hull</t>
  </si>
  <si>
    <t>52411</t>
  </si>
  <si>
    <t>(4x) 6-32 x 1/2 SHCS w/ LW + (3x) 6-32 x 5/8 with zincs, endcap to battery hull</t>
  </si>
  <si>
    <t>55183 / 55217 / 55214 / 49884</t>
  </si>
  <si>
    <t>(2x) Saddles, mounting, O2 PCB + (4x) Nylon 4-40 x 1/4 PHMS (only used with SBE 43f)</t>
  </si>
  <si>
    <t>Weigh Hydraulic res. Assy, then Oil fill &amp; add sub-assy fasteners</t>
  </si>
  <si>
    <t>Linear Poteniometer A  w/ cable assy (W21), Linear pot clamp, 3-48 x 1/2 SHCS, Spring, Linear pot rod end</t>
  </si>
  <si>
    <t>52255 / 49814 / 55220</t>
  </si>
  <si>
    <t>Linear Poteniometer B  w/ cable assy (W20), Linear pot clamp, 3-48 x 1/2 SHCS, Spring, Linear pot rod end</t>
  </si>
  <si>
    <t>52256 / 49814 / 55220</t>
  </si>
  <si>
    <t>(2x) 5-40 x 1/2 SHCS + #5 LW, Clamp to cylinder</t>
  </si>
  <si>
    <t xml:space="preserve">55250 / 55212 / 55225 </t>
  </si>
  <si>
    <t>(2x) 6-32 x 1/2 SHCS + #6 LW, boost pump bracket to endcap</t>
  </si>
  <si>
    <t>(4x) 6-32 x 1/2 SHCS + #6 LW, cylinder standoff to endcap</t>
  </si>
  <si>
    <t>aft endcap electronic parts - mount with CT sail</t>
  </si>
  <si>
    <t xml:space="preserve">Aft Terminal PCB </t>
  </si>
  <si>
    <t>55302</t>
  </si>
  <si>
    <t>SBE Conductivity PCB (included with sensors)</t>
  </si>
  <si>
    <t>Conductivity, PCB jumper, CA W26</t>
  </si>
  <si>
    <t>Shield, Radiation, C PCB + (4x) 2-56 x 1/4 BHCS</t>
  </si>
  <si>
    <t>49887 / 55221</t>
  </si>
  <si>
    <t>SBE Temperature PCB (included with sensors)</t>
  </si>
  <si>
    <t>Temperature, PCB jumper, CA W25</t>
  </si>
  <si>
    <t>Shield, Radiation, T PCB + (4x) 2-56 x 1/4 BHCS</t>
  </si>
  <si>
    <t>52371 / 55221</t>
  </si>
  <si>
    <t>SBE Oxygen PCB (only used with SBE 43f) ((included with sensors)</t>
  </si>
  <si>
    <t>Oxygen, PCB jumper, CA W33 (only used with SBE 43f)</t>
  </si>
  <si>
    <t>Ribbon Cable (W13) (gray)</t>
  </si>
  <si>
    <t>52248</t>
  </si>
  <si>
    <t>Ribbon  Cable (W14) (rainbow)</t>
  </si>
  <si>
    <t>52249</t>
  </si>
  <si>
    <t>Hydraulic Pump, LeDuc</t>
  </si>
  <si>
    <t>52348</t>
  </si>
  <si>
    <t>Hydraulic endcap</t>
  </si>
  <si>
    <t>Ball Bearing, 8mm ID x 16mm OD</t>
  </si>
  <si>
    <t>52459</t>
  </si>
  <si>
    <t>O-Ring, N70-032, hydraulic endcap</t>
  </si>
  <si>
    <t>52407</t>
  </si>
  <si>
    <t>Connector, Male, 1/16 NPT x 1/8 tube, brass</t>
  </si>
  <si>
    <t>52436</t>
  </si>
  <si>
    <t>Tubing, 1/8 Dia. X 10.5"</t>
  </si>
  <si>
    <t>52418</t>
  </si>
  <si>
    <t>Magnetic Seal</t>
  </si>
  <si>
    <t>52353</t>
  </si>
  <si>
    <t>(6x) 6-32 x 1/2 SHCS + #6 LW, hydraulic encap to encap</t>
  </si>
  <si>
    <t>Lee Plug Set</t>
  </si>
  <si>
    <t>52445 / 52446</t>
  </si>
  <si>
    <t>Check Valve (altered item Kepner 1106 A-1-1) + O-Ring (N70 3-906)</t>
  </si>
  <si>
    <t>49852 / 52408</t>
  </si>
  <si>
    <t xml:space="preserve">Bladder, External </t>
  </si>
  <si>
    <t>52441</t>
  </si>
  <si>
    <t>Nut, Bladder</t>
  </si>
  <si>
    <t>49802</t>
  </si>
  <si>
    <t>Position A (Comms):  IE55 w o-ring, CA W17, J1</t>
  </si>
  <si>
    <t>Position B (Optode / Spare):  port plug w/ o-ring</t>
  </si>
  <si>
    <t>Position C (Optics Sensor / spare):  IE55 w o-ring CA W30, J5</t>
  </si>
  <si>
    <t>Position D (Oxygen sensor / spare):  port plug w/ o-ring</t>
  </si>
  <si>
    <t>Position E (Spare):  IE55 w/ o-ring</t>
  </si>
  <si>
    <t>Female Connector, 7/16-20 UNF x 1/8 tube + O-Ring (E70-012)</t>
  </si>
  <si>
    <t>49816 / 52409</t>
  </si>
  <si>
    <t>Tubing, 0.125 D x 1.1 L SS</t>
  </si>
  <si>
    <t>FS-1265 Fluid in Pressure S.</t>
  </si>
  <si>
    <t>55472</t>
  </si>
  <si>
    <t>Assy., Druck Pressure Sensor</t>
  </si>
  <si>
    <t>Druck Sensor w/ CA W12</t>
  </si>
  <si>
    <t>55517</t>
  </si>
  <si>
    <t>52438</t>
  </si>
  <si>
    <t>Male connector, 1/4 NPT  x 1/8 tube</t>
  </si>
  <si>
    <t>52347</t>
  </si>
  <si>
    <t>Tubing, 0.125 D x 1.2  L SS</t>
  </si>
  <si>
    <t>Assy., Pitch  Mechanism</t>
  </si>
  <si>
    <t>(2x) Bracket, Linear Brng Rail-fwd</t>
  </si>
  <si>
    <t>(2x) Bracket, Linear Brng Rail-aft</t>
  </si>
  <si>
    <t>(4x) Linear Bearing Car</t>
  </si>
  <si>
    <t>(2x) Linear Brng Rail; THK RSR12VM</t>
  </si>
  <si>
    <t>(4x) 6-32 x 5/8 FHMS + 6-32 nylok, linear rail to bracket - fwd</t>
  </si>
  <si>
    <t>55211 / 55216</t>
  </si>
  <si>
    <t>(4x) 6-32 x 5/8 FHMS + 6-32 nylok, linear rail to bracket - aft</t>
  </si>
  <si>
    <t>(2x) Batt. encl side plate</t>
  </si>
  <si>
    <t>(16x) M6 x 6 FHCS, batt. encl side plate to bearing car</t>
  </si>
  <si>
    <t>Batt. encl endplate, fwd</t>
  </si>
  <si>
    <t>Batt. encl endplate, aft</t>
  </si>
  <si>
    <t>(8x) 4-40 x 3/8 FHCS, side plate to batt encl ends</t>
  </si>
  <si>
    <t>55229 / 55280</t>
  </si>
  <si>
    <t>Fwd Endplate, MassShifter</t>
  </si>
  <si>
    <t>Bearing, Ball Screw Shaft-fwd, .375 ID x .875 OD</t>
  </si>
  <si>
    <t>52458</t>
  </si>
  <si>
    <t>(2x) Retaining Ring,  internal spiral, Bearing-fwd</t>
  </si>
  <si>
    <t>55271</t>
  </si>
  <si>
    <t>Aft End Plate, MassShifter</t>
  </si>
  <si>
    <t>Bearing, Ball Screw Shaft-aft, .375 ID x .875 OD</t>
  </si>
  <si>
    <t>(2x) Retaining Ring,  internal spiral, Bearing-aft</t>
  </si>
  <si>
    <t>Internal Ring Gear, Roll</t>
  </si>
  <si>
    <t>49854 / 52488</t>
  </si>
  <si>
    <t>(6x) 4-40 x 3/8 FHMS, internal gear to fwd endplate</t>
  </si>
  <si>
    <t>Roll Bearing; KU075 XPO</t>
  </si>
  <si>
    <t>52487</t>
  </si>
  <si>
    <t>Branch Tee, Male, 1/4 tube x 1/8 NPT x 1/4 tube, brass + Plastic plug (X59P4)</t>
  </si>
  <si>
    <t>52443</t>
  </si>
  <si>
    <t>Elbow, 1/8 NPT M x 1/8 NPT M, brass</t>
  </si>
  <si>
    <t>52426</t>
  </si>
  <si>
    <t>Kepner Chk Valve 404A-1-10</t>
  </si>
  <si>
    <t>52447</t>
  </si>
  <si>
    <t>Elbow, 1/8 npt x 1/8 tube, alum</t>
  </si>
  <si>
    <t>52427</t>
  </si>
  <si>
    <t>Bleed screw, 10-32 x .125 PHMS with seal</t>
  </si>
  <si>
    <t>55477</t>
  </si>
  <si>
    <t>Cylinder, Diaphragm</t>
  </si>
  <si>
    <t>(8x) 5-40 x 3/8 FHMS, head to cylinder</t>
  </si>
  <si>
    <t>55251</t>
  </si>
  <si>
    <t>Standoff (starboard)</t>
  </si>
  <si>
    <t>55299</t>
  </si>
  <si>
    <t>Standoff (port)</t>
  </si>
  <si>
    <t>(4x) 6-32 x 3/8 SHCS, standoff to cylinder</t>
  </si>
  <si>
    <t>55183</t>
  </si>
  <si>
    <t>(2x) Saddles, mounting, Aft PCB + (4x) Nylon 4-40 x 1/4 PHMS</t>
  </si>
  <si>
    <t>52373 / 55257</t>
  </si>
  <si>
    <t>(2x) Saddles, mounting, C PCB + (4x) Nylon 4-40 x 1/4 PHMS</t>
  </si>
  <si>
    <t>49888 / 55257</t>
  </si>
  <si>
    <t>(2x) Saddles, mounting, T PCB + (4x) Nylon 4-40 x 1/4 PHMS</t>
  </si>
  <si>
    <t>(2x) M2 x 6 CHMS + M2 LW, motor to interface plate</t>
  </si>
  <si>
    <t>55201 / 55200</t>
  </si>
  <si>
    <t>Gear Block, Pitch Motor</t>
  </si>
  <si>
    <t>(2x) Bearings, Pitch Motor, .25 ID x .625 OD flanged</t>
  </si>
  <si>
    <t>52452</t>
  </si>
  <si>
    <t>Spacers, Pitch motor shaft</t>
  </si>
  <si>
    <t>55187 / 55267 / 55268 / 55260</t>
  </si>
  <si>
    <t>Worm, Pitch</t>
  </si>
  <si>
    <t>52467</t>
  </si>
  <si>
    <t xml:space="preserve">Roll pin, pitch worm to motor shaft, .094 OD x .375 L  </t>
  </si>
  <si>
    <t>55276</t>
  </si>
  <si>
    <t>(4x) 2-56 x 5/16 PHMS, interface plate to gear block</t>
  </si>
  <si>
    <t>55219</t>
  </si>
  <si>
    <t>Gear Block shim plates, pitch motor</t>
  </si>
  <si>
    <t>55533</t>
  </si>
  <si>
    <t xml:space="preserve">(4x) Shoulder screw, .125 dia x 7/16 L </t>
  </si>
  <si>
    <t>55222</t>
  </si>
  <si>
    <t>(4x) # 4 nylok</t>
  </si>
  <si>
    <t>55232</t>
  </si>
  <si>
    <t>10 turn Potentiometer w/ nut and cable W41, pitch</t>
  </si>
  <si>
    <t>52287</t>
  </si>
  <si>
    <t>Spur gear, Pitch shaft, 48 tooth, delrin</t>
  </si>
  <si>
    <t>Pitch pot gear, 72 tooth, delrin</t>
  </si>
  <si>
    <t>*</t>
  </si>
  <si>
    <t>Assy., Roll Motor</t>
  </si>
  <si>
    <t>Gear Block, Roll Motor</t>
  </si>
  <si>
    <t>(4x) Bearing, Roll mechanism, .25 ID x .625 OD flanged</t>
  </si>
  <si>
    <t>Motor, Roll w/ shaft and C.A. W15</t>
  </si>
  <si>
    <t>Interface Plate, Roll Motor</t>
  </si>
  <si>
    <t>Spacers, Roll Motor Shaft</t>
  </si>
  <si>
    <t>55266 / 55267 / 55260</t>
  </si>
  <si>
    <t>Worm, Roll</t>
  </si>
  <si>
    <t>Roll gear shaft</t>
  </si>
  <si>
    <t>Worm Gear, Roll</t>
  </si>
  <si>
    <t>Roll Pin, Roll Gear Shaft, .063 OD x .75 L</t>
  </si>
  <si>
    <t>55275</t>
  </si>
  <si>
    <t>Spacers, Ret. Rings, roll gear shaft</t>
  </si>
  <si>
    <t>55266 / 55267 / 55268 / 55266</t>
  </si>
  <si>
    <t>Spur Gear, Roll</t>
  </si>
  <si>
    <t>Roll Pin, Roll Spur Gear, .063 dia x .500</t>
  </si>
  <si>
    <t>Potentiometer, Roll w/ nut and CA W16</t>
  </si>
  <si>
    <t>Assy., Electronics</t>
  </si>
  <si>
    <t>Electronics rail, port</t>
  </si>
  <si>
    <t>CT Sensor Sail Assembly (stanchion, guard, nut, nacelle, (6x) 6-32 x 5/16 FHMS, o-ring (E70-016), o-ring (E70-012), SBE components)</t>
  </si>
  <si>
    <t>Assy., Mass shifter</t>
  </si>
  <si>
    <t>Assy., Bulkhead</t>
  </si>
  <si>
    <t>Hull Bulkhead</t>
  </si>
  <si>
    <t>pressure test with partial fwd hull 49877 and complete 54844/5</t>
  </si>
  <si>
    <t>Centering Spring, Roll Bearing</t>
  </si>
  <si>
    <t>Wire Bridge with vinyl tape wrap</t>
  </si>
  <si>
    <t>(2x) 6-32 x 5/16 FHMS, wire bridge to bulkhead</t>
  </si>
  <si>
    <t>Snap Ring, Roll Bearing</t>
  </si>
  <si>
    <t>(4x) 6-32 x 1/2 FHMS, roll gear block to bulkhead</t>
  </si>
  <si>
    <t>Spur Gear, Delrin, Roll Pot.</t>
  </si>
  <si>
    <t>Battery Pack, HV with CA W2 + shim</t>
  </si>
  <si>
    <t>Bottom Ballast Weight</t>
  </si>
  <si>
    <t>(8x) 4-40 x 3/8 SHCS, ballast to batt encl endplates</t>
  </si>
  <si>
    <t>Assy., Paine Pressure</t>
  </si>
  <si>
    <t>Paine Sensor w/ CA W12</t>
  </si>
  <si>
    <t xml:space="preserve">Male Connector, 1/16 NPT x 1/8 tube </t>
  </si>
  <si>
    <t>Battery Pack Cage, LV</t>
  </si>
  <si>
    <t>(6x) 6-32 x 1/4 PHMS + #6 LW, batt. cage to rails</t>
  </si>
  <si>
    <t>Assy., Battery Hull Sections</t>
  </si>
  <si>
    <t>Hull, Fwd Battery</t>
  </si>
  <si>
    <t>Hull, Aft Battery</t>
  </si>
  <si>
    <t>Joint Ring , battery hulls</t>
  </si>
  <si>
    <t>(8x) 6-32 x 3/4 SHCS + #6 LW, joint ring to fwd/aft batt. Hull</t>
  </si>
  <si>
    <t>55214 / 55217</t>
  </si>
  <si>
    <t>(2x) O-Ring, E70-271</t>
  </si>
  <si>
    <t>(12x) Clips, Rib</t>
  </si>
  <si>
    <t>(12x) Clips, Wiring</t>
  </si>
  <si>
    <t>Oil Absorption pad, 1.9" x 10.125" + (2x) rib clips</t>
  </si>
  <si>
    <t>55527 / 49883</t>
  </si>
  <si>
    <t>Assy., Forward Hull Sections</t>
  </si>
  <si>
    <t>Endcap, Forward</t>
  </si>
  <si>
    <t>Acoustic transducer (ITC-3013), w/ cable W36</t>
  </si>
  <si>
    <t>52267 / 52223</t>
  </si>
  <si>
    <t>O-Ring, E70-238, transducer to Endcap</t>
  </si>
  <si>
    <t>(6x) Alum 1/4-20 x 3/4 SHCS + 1/4 LW, xducer to end cap</t>
  </si>
  <si>
    <t>55236 / 55252</t>
  </si>
  <si>
    <t>Hull, Electronics</t>
  </si>
  <si>
    <t>O-Ring, E70-263, elec hull to fwd endcap</t>
  </si>
  <si>
    <t>(8x) 6-32 x 1/2 SHCS + #6 LW, elec hull to fwd endcap</t>
  </si>
  <si>
    <t>(pressure test above components w/ bulkhead and pressure sensor assy)</t>
  </si>
  <si>
    <t>Compass bracket</t>
  </si>
  <si>
    <t>Compass w/compass carrier PCB</t>
  </si>
  <si>
    <t>55305 / 52466</t>
  </si>
  <si>
    <t>(4x) 4-40 x 3/8 SHCS + #4 x 1/8L stand off</t>
  </si>
  <si>
    <t>55256 / 55282</t>
  </si>
  <si>
    <t>(2x) 4-40 X 3/8 SHCS + #4 LW, comp mt to fwd encap</t>
  </si>
  <si>
    <t>55228 / 55233</t>
  </si>
  <si>
    <t>Cable Assembly W9  (compass cable)</t>
  </si>
  <si>
    <t>SG lead worksheet</t>
  </si>
  <si>
    <t>SG#</t>
  </si>
  <si>
    <t>General notes re: usage</t>
  </si>
  <si>
    <t>date</t>
  </si>
  <si>
    <t xml:space="preserve">Lead, 1/8"x3/4"x5"≈ </t>
  </si>
  <si>
    <t>~95g</t>
  </si>
  <si>
    <t>time</t>
  </si>
  <si>
    <t>Lead, 1/4"x3/4"x5"≈</t>
  </si>
  <si>
    <t>~171g</t>
  </si>
  <si>
    <t>who</t>
  </si>
  <si>
    <t>Ball Screw Shaft + spacers</t>
  </si>
  <si>
    <t>49820 / 55188</t>
  </si>
  <si>
    <t xml:space="preserve">Worm Gear, Pitch, Brass G1035 </t>
  </si>
  <si>
    <t xml:space="preserve">Roll Pin, pitch worm gear to shaft, 3/32 OD x 5/8 L  </t>
  </si>
  <si>
    <t>55272</t>
  </si>
  <si>
    <t>(3x) Retaining Plate; Roll Bearing</t>
  </si>
  <si>
    <t>(6x) 6-32 x 1/2 FHMS, ring plate to fwd plate</t>
  </si>
  <si>
    <t>Ball Screw Nut THK BTP0502</t>
  </si>
  <si>
    <t>52403</t>
  </si>
  <si>
    <t>Mount, Ball Nut Screw</t>
  </si>
  <si>
    <t>(4x) 8-32 x 5/8 SHCS + #8 LW, bracket to batt end plate, fwd</t>
  </si>
  <si>
    <t>55244 / 55247</t>
  </si>
  <si>
    <t>(4x) 8-32 x 5/8 SHCS + #8 LW, bracket to batt end plate, aft</t>
  </si>
  <si>
    <t>Retaining Ring, external .338 ID, Shaft-aft</t>
  </si>
  <si>
    <t>55263</t>
  </si>
  <si>
    <t>Top Plate</t>
  </si>
  <si>
    <t>52493</t>
  </si>
  <si>
    <t>(4x) 4-40 x 3/8 SHCS + #4 FW, top plate assy to batt encl end</t>
  </si>
  <si>
    <t>55228 / 55280</t>
  </si>
  <si>
    <t>(2x) 6-32 x 3/8 SHCS + #6 FW + #6 LW, nut retainer to top plate assy</t>
  </si>
  <si>
    <t>55213 / 55217</t>
  </si>
  <si>
    <t>Motor, Pitch with C.A. W41</t>
  </si>
  <si>
    <t>Interface Plate, Pitch Motor</t>
  </si>
  <si>
    <t>counts=AtoD counts</t>
  </si>
  <si>
    <t>In tank to find original volume of SG</t>
  </si>
  <si>
    <t>Tank Temp</t>
  </si>
  <si>
    <t>deg C</t>
  </si>
  <si>
    <t>measured using YSI</t>
  </si>
  <si>
    <t>New tank test 10/22/07</t>
  </si>
  <si>
    <t>Tank Salinity (meas)</t>
  </si>
  <si>
    <t>ppt</t>
  </si>
  <si>
    <t>Tank Salinity (corr)</t>
  </si>
  <si>
    <t>ratio for tank salt</t>
  </si>
  <si>
    <t>Tank Density</t>
  </si>
  <si>
    <t>gram/cc</t>
  </si>
  <si>
    <t>calculated using web-calculator</t>
  </si>
  <si>
    <t>SG Mass</t>
  </si>
  <si>
    <t>measured with lead est. from orig. trim sheet</t>
  </si>
  <si>
    <t>SG Volume</t>
  </si>
  <si>
    <t>at neutral, when achieved relative to C_VBD</t>
  </si>
  <si>
    <t>Neutral by interation in tank</t>
  </si>
  <si>
    <t>Relative to set C_VBD</t>
  </si>
  <si>
    <t>counts</t>
  </si>
  <si>
    <t>(Neil's table )</t>
  </si>
  <si>
    <t>counts*</t>
  </si>
  <si>
    <t>VBD rel V0, cc</t>
  </si>
  <si>
    <t>Displacement</t>
  </si>
  <si>
    <t>Vol max (oil outside)</t>
  </si>
  <si>
    <t>cc (pos. floats)</t>
  </si>
  <si>
    <t>Vol neutral</t>
  </si>
  <si>
    <t>(obsv in tank)</t>
  </si>
  <si>
    <t>Vol min (oil inside)</t>
  </si>
  <si>
    <t>cc (neg. sinks)</t>
  </si>
  <si>
    <t>Max movable vol.</t>
  </si>
  <si>
    <t>New enviornment ballasting</t>
  </si>
  <si>
    <t>SG Mass (observed)</t>
  </si>
  <si>
    <t>at PS deployment</t>
  </si>
  <si>
    <t>SG Vol max (obsv/est)</t>
  </si>
  <si>
    <t>SG Vol min</t>
  </si>
  <si>
    <t>New enivron density</t>
  </si>
  <si>
    <t>g/cc</t>
  </si>
  <si>
    <t>Goal for thrust</t>
  </si>
  <si>
    <t xml:space="preserve">New Vol neutral </t>
  </si>
  <si>
    <t>lead density</t>
  </si>
  <si>
    <t>Change mass by</t>
  </si>
  <si>
    <t>vol lead change</t>
  </si>
  <si>
    <t>Projected new mass</t>
  </si>
  <si>
    <t>Proj. Vol. max</t>
  </si>
  <si>
    <t>VBD points for new environ</t>
  </si>
  <si>
    <t>Vol max</t>
  </si>
  <si>
    <t>Vol neutral (C_VBD)</t>
  </si>
  <si>
    <t>Vol min</t>
  </si>
  <si>
    <t>Actual new mass</t>
  </si>
  <si>
    <t>Est. Vol. neutral</t>
  </si>
  <si>
    <t>Est. C_VBD</t>
  </si>
  <si>
    <t>Tank and Puget Sound Notes</t>
  </si>
  <si>
    <t>Seaglider</t>
  </si>
  <si>
    <t>Date</t>
  </si>
  <si>
    <t>Action</t>
  </si>
  <si>
    <t>Maintenance sheet</t>
  </si>
  <si>
    <t xml:space="preserve">SG </t>
  </si>
  <si>
    <t>last updated</t>
  </si>
  <si>
    <t>Paine</t>
  </si>
  <si>
    <t>Druck</t>
  </si>
  <si>
    <t>Electronics rail, starboard</t>
  </si>
  <si>
    <t>Seaglider Mainboard (includes all motherboard electronics, TT8, CF8 w/ flash disk, all permanent pigtails)</t>
  </si>
  <si>
    <t>52290-B.4</t>
  </si>
  <si>
    <t xml:space="preserve"> Insulation Sheet-OEM/Main</t>
  </si>
  <si>
    <t>52370</t>
  </si>
  <si>
    <t>(6x) 6-32 x 1/4 PHMS, main board to rails</t>
  </si>
  <si>
    <t>55237</t>
  </si>
  <si>
    <t>Assy., OEM Navigation Board (includes transponder PCB, transformer/inductor, capacitors, GPS reciever, W6 GPS serial interface, DC-DC converter, Cable Assembly W7, all soldered on wiring)</t>
  </si>
  <si>
    <t>(6x) 6-32 x 1/4 PHMS, OEM board to rails</t>
  </si>
  <si>
    <t>Assy.,  Iridium Modem and bracket (includes satellite reciever - iridium LBT, cable assy W3, all clamps for wires, RF switch, DC block, and mounting hardware)</t>
  </si>
  <si>
    <t>(4x) 6-32 x 1/4 PHMS + #6 LW, modem cage to rails</t>
  </si>
  <si>
    <t>55209 / 55217</t>
  </si>
  <si>
    <t>Battery Pack, LV w/ CA W1</t>
  </si>
  <si>
    <t>52237</t>
  </si>
  <si>
    <t>Volts/AD-count</t>
  </si>
  <si>
    <t>Pressure</t>
  </si>
  <si>
    <t>0 deg C</t>
  </si>
  <si>
    <t>30 deg C</t>
  </si>
  <si>
    <t>A/D Counts/Volt</t>
  </si>
  <si>
    <t>(PSIA)</t>
  </si>
  <si>
    <t>Increasing</t>
  </si>
  <si>
    <t>Decreasing</t>
  </si>
  <si>
    <t>14.x</t>
  </si>
  <si>
    <t>Max counts  (24 bit AD)</t>
  </si>
  <si>
    <t>xx.x</t>
  </si>
  <si>
    <t>Excitation Voltage</t>
  </si>
  <si>
    <t>5.000</t>
  </si>
  <si>
    <t>Druck calibration on APL dead-weight tester</t>
  </si>
  <si>
    <t>Pressure (psig)</t>
  </si>
  <si>
    <t>Variance</t>
  </si>
  <si>
    <t>Notes</t>
  </si>
  <si>
    <t>From dead-weight</t>
  </si>
  <si>
    <t>Mean reading</t>
  </si>
  <si>
    <t>(using 40 samples)</t>
  </si>
  <si>
    <t>After setting y-intercept with 40 samples</t>
  </si>
  <si>
    <t>Averages of increasing and decreasing and adjusted for Seaglider 5.000V excitation voltage</t>
  </si>
  <si>
    <t>Average</t>
  </si>
  <si>
    <t>0 Deg C</t>
  </si>
  <si>
    <t>30 Deg C</t>
  </si>
  <si>
    <t>Output</t>
  </si>
  <si>
    <t>(A/D counts)</t>
  </si>
  <si>
    <t>Slope Coefficient Units (PSIA/A-D )</t>
  </si>
  <si>
    <t>Slope calculations</t>
  </si>
  <si>
    <t>Intercept Coefficient (PSIA)</t>
  </si>
  <si>
    <t>Averages</t>
  </si>
  <si>
    <t>Pressure (psia)</t>
  </si>
  <si>
    <t>Std deviation</t>
  </si>
  <si>
    <t>Slope</t>
  </si>
  <si>
    <t>Intercept</t>
  </si>
  <si>
    <t>Error Analysis 0 Deg</t>
  </si>
  <si>
    <t>Error Analysis 30 Deg</t>
  </si>
  <si>
    <t>Calculated</t>
  </si>
  <si>
    <t>Error</t>
  </si>
  <si>
    <t>Intercept – psia</t>
  </si>
  <si>
    <t>Intercept – psig</t>
  </si>
  <si>
    <t>Use these values for Seaglider Calibration Coefficients</t>
  </si>
  <si>
    <t>Motor Data</t>
  </si>
  <si>
    <t>Boost Pump motor</t>
  </si>
  <si>
    <t>Burn in time (min):</t>
  </si>
  <si>
    <t>Amp @ start of burn in (mA):</t>
  </si>
  <si>
    <t>Amp @ end of burn in (mA):</t>
  </si>
  <si>
    <t>Amp w/micro pump (mA):</t>
  </si>
  <si>
    <t>Main Pump Motor</t>
  </si>
  <si>
    <t>Pitch Motor</t>
  </si>
  <si>
    <t>Amp w/gear block assy. (mA):</t>
  </si>
  <si>
    <t>Roll Motor</t>
  </si>
  <si>
    <t>Material Density</t>
  </si>
  <si>
    <t>6061 T6 Alum</t>
  </si>
  <si>
    <t>Lead</t>
  </si>
  <si>
    <t>Naval Brass</t>
  </si>
  <si>
    <t>Stainless Steel</t>
  </si>
  <si>
    <t>Polypropylene</t>
  </si>
  <si>
    <t>Fairing fiberglass density**</t>
  </si>
  <si>
    <t xml:space="preserve">  Zinc</t>
  </si>
  <si>
    <t>PVC Density</t>
  </si>
  <si>
    <t>Neoprene Density</t>
  </si>
  <si>
    <t>Hydraulic Oil* Density</t>
  </si>
  <si>
    <t>1pc foam double-stick≈</t>
  </si>
  <si>
    <t>~0.5g</t>
  </si>
  <si>
    <t>Wt. goal</t>
  </si>
  <si>
    <t>Actual</t>
  </si>
  <si>
    <t>grams/pcs</t>
  </si>
  <si>
    <t>sum grams</t>
  </si>
  <si>
    <t>Nose plates  (qty)</t>
  </si>
  <si>
    <t>pc-1</t>
  </si>
  <si>
    <t>pc-2</t>
  </si>
  <si>
    <t>pc-3</t>
  </si>
  <si>
    <t>pc-4</t>
  </si>
  <si>
    <t>pc-5</t>
  </si>
  <si>
    <t>pc-6</t>
  </si>
  <si>
    <t>pc-7</t>
  </si>
  <si>
    <t>pc-8</t>
  </si>
  <si>
    <t>pc-9</t>
  </si>
  <si>
    <t>weights</t>
  </si>
  <si>
    <t>screws</t>
  </si>
  <si>
    <t>At Fairing Joint Ring</t>
  </si>
  <si>
    <t>middle</t>
  </si>
  <si>
    <t>Bottom</t>
  </si>
  <si>
    <t># of pcs tape</t>
  </si>
  <si>
    <t>Port side</t>
  </si>
  <si>
    <t>Starboard side</t>
  </si>
  <si>
    <t>Top</t>
  </si>
  <si>
    <t>sum - tape</t>
  </si>
  <si>
    <t>At 16.7" fwd of Ring</t>
  </si>
  <si>
    <t>Scale weight of fwd fairing after lead added</t>
  </si>
  <si>
    <t>original</t>
  </si>
  <si>
    <t>At fwd edge stern tube</t>
  </si>
  <si>
    <t>Scale weight of aft fairing after lead added</t>
  </si>
  <si>
    <t>Whole glider weight - BEFORE PUTTING IN TANK - DRY!!!</t>
  </si>
  <si>
    <t>Ballasting worksheet</t>
  </si>
  <si>
    <t>Conversions</t>
  </si>
  <si>
    <t>Units</t>
  </si>
  <si>
    <t xml:space="preserve">VBD </t>
  </si>
  <si>
    <t>counts/cc</t>
  </si>
  <si>
    <t>cc=cm3</t>
  </si>
  <si>
    <t>gm=grams</t>
  </si>
  <si>
    <t>cc/counts</t>
  </si>
  <si>
    <t>PRC Wing Density</t>
  </si>
  <si>
    <t>** vary to balance overall density of glider</t>
  </si>
  <si>
    <t>*Mobil DTE 11M specfic gravity is 0.8683gm/cc weighed by Lehman 6/26/2001</t>
  </si>
  <si>
    <t>% sg_calib_constants.m</t>
  </si>
  <si>
    <t>% values from spreadsheet for easy inclusion of glider params into diveplot.m, etc.</t>
  </si>
  <si>
    <t>% basic glider and mission params</t>
  </si>
  <si>
    <t xml:space="preserve">id_str </t>
  </si>
  <si>
    <t>=</t>
  </si>
  <si>
    <t>;</t>
  </si>
  <si>
    <t xml:space="preserve">mass </t>
  </si>
  <si>
    <t>% from sum on trim sheet</t>
  </si>
  <si>
    <t xml:space="preserve">volmax </t>
  </si>
  <si>
    <t>% from ballast worksheet final table</t>
  </si>
  <si>
    <t xml:space="preserve">mission_title </t>
  </si>
  <si>
    <t>SFC_Port_Susan</t>
  </si>
  <si>
    <t xml:space="preserve">rho0 </t>
  </si>
  <si>
    <t>% from ballast worksheet for "new" evironment</t>
  </si>
  <si>
    <t>% software limits from cal sheet:</t>
  </si>
  <si>
    <t xml:space="preserve">pitch_min_cnts </t>
  </si>
  <si>
    <t xml:space="preserve">pitch_max_cnts </t>
  </si>
  <si>
    <t xml:space="preserve">roll_min_cnts </t>
  </si>
  <si>
    <t xml:space="preserve">roll_max_cnts </t>
  </si>
  <si>
    <t xml:space="preserve">vbd_min_cnts </t>
  </si>
  <si>
    <t xml:space="preserve">vbd_max_cnts </t>
  </si>
  <si>
    <t xml:space="preserve">vbd_cnts_per_cc </t>
  </si>
  <si>
    <t>% CT sensors cal constants</t>
  </si>
  <si>
    <t xml:space="preserve">calibcomm </t>
  </si>
  <si>
    <t>SN_0041_cal_25Apr06</t>
  </si>
  <si>
    <t>% SN and cal date</t>
  </si>
  <si>
    <t xml:space="preserve">t_g </t>
  </si>
  <si>
    <t xml:space="preserve">t_h </t>
  </si>
  <si>
    <t xml:space="preserve">t_i </t>
  </si>
  <si>
    <t xml:space="preserve">t_j </t>
  </si>
  <si>
    <t xml:space="preserve">c_g </t>
  </si>
  <si>
    <t xml:space="preserve">c_h </t>
  </si>
  <si>
    <t xml:space="preserve">c_i </t>
  </si>
  <si>
    <t xml:space="preserve">c_j </t>
  </si>
  <si>
    <t xml:space="preserve">cpcor </t>
  </si>
  <si>
    <t xml:space="preserve">ctcor </t>
  </si>
  <si>
    <t>sbe_cond_freq_min</t>
  </si>
  <si>
    <t>% kHz, from cal for 0 salinity</t>
  </si>
  <si>
    <t>sbe_cond_freq_max</t>
  </si>
  <si>
    <t>% kHz, est for greater than 34.9 sal max T</t>
  </si>
  <si>
    <t>sbe_temp_freq_min</t>
  </si>
  <si>
    <t>% kHz, from cal for 1 deg T</t>
  </si>
  <si>
    <t>sbe_temp_freq_max</t>
  </si>
  <si>
    <t>% kHz, from cal for 32.5 deg T</t>
  </si>
  <si>
    <t>% oxygen cal constants</t>
  </si>
  <si>
    <t>comm_oxy_type</t>
  </si>
  <si>
    <t>SBE_43f</t>
  </si>
  <si>
    <t>% spec SBE_43f or Aa_optode</t>
  </si>
  <si>
    <t xml:space="preserve">calibcomm_oxygen </t>
  </si>
  <si>
    <t>SN_430102_cal_25Apr06</t>
  </si>
  <si>
    <t xml:space="preserve">Soc </t>
  </si>
  <si>
    <t xml:space="preserve">Foffset </t>
  </si>
  <si>
    <t>A</t>
  </si>
  <si>
    <t>B</t>
  </si>
  <si>
    <t>C</t>
  </si>
  <si>
    <t>D</t>
  </si>
  <si>
    <t>% initial hydrodynamic model params</t>
  </si>
  <si>
    <t xml:space="preserve">hd_a </t>
  </si>
  <si>
    <t>% #s from SG115 in HI, July 2006</t>
  </si>
  <si>
    <t xml:space="preserve">hd_b </t>
  </si>
  <si>
    <t xml:space="preserve">hd_c </t>
  </si>
  <si>
    <t xml:space="preserve">  </t>
  </si>
  <si>
    <t>Est. Vol. max</t>
  </si>
  <si>
    <t>first time to Port Susan - 27 dives, high motor currents for pitch - rebuild</t>
  </si>
  <si>
    <t>2nd time to field to check on newly rebuilt mass - shifter - still high currents and climbing after only 4 dives - bring back</t>
  </si>
  <si>
    <t>tank check with latest mass-shifter rebuild - much better - found new values for C_PITCH, etc. from trim out and new wts.</t>
  </si>
  <si>
    <t>Intercept Coef (PSIG)</t>
  </si>
  <si>
    <t>Slope Coef. Units (PSIG/A-D )</t>
  </si>
  <si>
    <t>Paine calibration data from sheet delivered with sensor</t>
  </si>
  <si>
    <t>211-75-710-05</t>
  </si>
  <si>
    <t>PCDR 4020</t>
  </si>
  <si>
    <t>Conversion to SG counts</t>
  </si>
  <si>
    <t>Excitation Voltage = 10.000V</t>
  </si>
  <si>
    <t>xxxxxx</t>
  </si>
  <si>
    <t>A/D Ref Voltage</t>
  </si>
  <si>
    <t>Response voltages in mV</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</si>
</sst>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_-;_-@_-"/>
    <numFmt numFmtId="165" formatCode="_(* #,##0.00_);_(* \(#,##0.00\);_(* \-??_);_(@_)"/>
    <numFmt numFmtId="166" formatCode="0.00;[Red]0.00"/>
    <numFmt numFmtId="167" formatCode="0.000000"/>
    <numFmt numFmtId="168" formatCode="0.00000"/>
    <numFmt numFmtId="169" formatCode="0.000000E+00"/>
    <numFmt numFmtId="170" formatCode="0.000"/>
    <numFmt numFmtId="171" formatCode="0.0"/>
    <numFmt numFmtId="172" formatCode="0000"/>
    <numFmt numFmtId="173" formatCode="0.00000000E+00"/>
    <numFmt numFmtId="174" formatCode="0.0000E+00"/>
    <numFmt numFmtId="175" formatCode="_(* #,##0_);_(* \(#,##0\);_(* \-??_);_(@_)"/>
    <numFmt numFmtId="176" formatCode="0.0E+00;\ठ"/>
    <numFmt numFmtId="177" formatCode="dd\-mmm\-yy"/>
    <numFmt numFmtId="178" formatCode="0.0000"/>
    <numFmt numFmtId="179" formatCode="0.0000000E+00"/>
    <numFmt numFmtId="180" formatCode="0.00E+000"/>
    <numFmt numFmtId="181" formatCode="[$-409]dddd\,\ mmmm\ dd\,\ yyyy"/>
    <numFmt numFmtId="182" formatCode="m/d/yy;@"/>
    <numFmt numFmtId="183" formatCode="[$-409]d\-mmm\-yy;@"/>
  </numFmts>
  <fonts count="65">
    <font>
      <sz val="10"/>
      <name val="Arial"/>
      <family val="2"/>
    </font>
    <font>
      <b/>
      <sz val="14"/>
      <name val="Arial"/>
      <family val="2"/>
    </font>
    <font>
      <b/>
      <sz val="14"/>
      <color indexed="10"/>
      <name val="Arial"/>
      <family val="2"/>
    </font>
    <font>
      <sz val="12"/>
      <name val="Arial"/>
      <family val="2"/>
    </font>
    <font>
      <b/>
      <sz val="12"/>
      <name val="Arial"/>
      <family val="2"/>
    </font>
    <font>
      <sz val="10"/>
      <color indexed="10"/>
      <name val="Arial"/>
      <family val="2"/>
    </font>
    <font>
      <sz val="10"/>
      <color indexed="53"/>
      <name val="Arial"/>
      <family val="2"/>
    </font>
    <font>
      <i/>
      <sz val="10"/>
      <name val="Arial"/>
      <family val="2"/>
    </font>
    <font>
      <b/>
      <sz val="10"/>
      <name val="Arial"/>
      <family val="2"/>
    </font>
    <font>
      <sz val="10"/>
      <name val="Verdana"/>
      <family val="2"/>
    </font>
    <font>
      <sz val="10"/>
      <color indexed="8"/>
      <name val="Arial"/>
      <family val="2"/>
    </font>
    <font>
      <b/>
      <sz val="18"/>
      <name val="Arial"/>
      <family val="2"/>
    </font>
    <font>
      <sz val="11"/>
      <name val="Arial"/>
      <family val="2"/>
    </font>
    <font>
      <b/>
      <sz val="8"/>
      <color indexed="8"/>
      <name val="Nimbus Roman No9 L"/>
      <family val="1"/>
    </font>
    <font>
      <sz val="8"/>
      <color indexed="8"/>
      <name val="Nimbus Roman No9 L"/>
      <family val="1"/>
    </font>
    <font>
      <sz val="12"/>
      <color indexed="14"/>
      <name val="Arial"/>
      <family val="2"/>
    </font>
    <font>
      <sz val="12"/>
      <color indexed="10"/>
      <name val="Arial"/>
      <family val="2"/>
    </font>
    <font>
      <b/>
      <sz val="12"/>
      <color indexed="10"/>
      <name val="Arial"/>
      <family val="2"/>
    </font>
    <font>
      <b/>
      <i/>
      <sz val="12"/>
      <name val="Arial"/>
      <family val="2"/>
    </font>
    <font>
      <sz val="12"/>
      <color indexed="8"/>
      <name val="Arial"/>
      <family val="2"/>
    </font>
    <font>
      <sz val="12"/>
      <color indexed="25"/>
      <name val="Arial"/>
      <family val="2"/>
    </font>
    <font>
      <b/>
      <i/>
      <sz val="12"/>
      <color indexed="8"/>
      <name val="Arial"/>
      <family val="2"/>
    </font>
    <font>
      <i/>
      <sz val="12"/>
      <name val="Arial"/>
      <family val="2"/>
    </font>
    <font>
      <u val="single"/>
      <sz val="12"/>
      <name val="Arial"/>
      <family val="2"/>
    </font>
    <font>
      <u val="single"/>
      <sz val="12"/>
      <color indexed="8"/>
      <name val="Arial"/>
      <family val="2"/>
    </font>
    <font>
      <sz val="14"/>
      <color indexed="8"/>
      <name val="Arial"/>
      <family val="2"/>
    </font>
    <font>
      <b/>
      <sz val="9"/>
      <color indexed="8"/>
      <name val="Geneva"/>
      <family val="2"/>
    </font>
    <font>
      <sz val="9"/>
      <color indexed="8"/>
      <name val="Geneva"/>
      <family val="2"/>
    </font>
    <font>
      <b/>
      <sz val="12"/>
      <color indexed="25"/>
      <name val="Arial"/>
      <family val="2"/>
    </font>
    <font>
      <b/>
      <sz val="12"/>
      <color indexed="8"/>
      <name val="Arial"/>
      <family val="2"/>
    </font>
    <font>
      <b/>
      <sz val="12"/>
      <color indexed="11"/>
      <name val="Arial"/>
      <family val="2"/>
    </font>
    <font>
      <sz val="12"/>
      <color indexed="11"/>
      <name val="Arial"/>
      <family val="2"/>
    </font>
    <font>
      <sz val="12"/>
      <color indexed="12"/>
      <name val="Arial"/>
      <family val="2"/>
    </font>
    <font>
      <sz val="14"/>
      <name val="Arial"/>
      <family val="2"/>
    </font>
    <font>
      <sz val="14"/>
      <color indexed="10"/>
      <name val="Arial"/>
      <family val="2"/>
    </font>
    <font>
      <b/>
      <sz val="16"/>
      <name val="Arial"/>
      <family val="2"/>
    </font>
    <font>
      <b/>
      <sz val="12"/>
      <color indexed="14"/>
      <name val="Arial"/>
      <family val="2"/>
    </font>
    <font>
      <b/>
      <i/>
      <sz val="10"/>
      <name val="Arial"/>
      <family val="2"/>
    </font>
    <font>
      <sz val="10"/>
      <color indexed="12"/>
      <name val="Arial"/>
      <family val="2"/>
    </font>
    <font>
      <b/>
      <sz val="10"/>
      <color indexed="10"/>
      <name val="Arial"/>
      <family val="2"/>
    </font>
    <font>
      <b/>
      <u val="single"/>
      <sz val="12"/>
      <name val="Arial"/>
      <family val="2"/>
    </font>
    <font>
      <sz val="8"/>
      <name val="Arial"/>
      <family val="2"/>
    </font>
    <font>
      <u val="single"/>
      <sz val="10"/>
      <color indexed="12"/>
      <name val="Arial"/>
      <family val="2"/>
    </font>
    <font>
      <u val="single"/>
      <sz val="10"/>
      <color indexed="36"/>
      <name val="Arial"/>
      <family val="2"/>
    </font>
    <font>
      <sz val="8"/>
      <name val="Tahoma"/>
      <family val="0"/>
    </font>
    <font>
      <b/>
      <sz val="8"/>
      <name val="Tahoma"/>
      <family val="0"/>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52"/>
        <bgColor indexed="64"/>
      </patternFill>
    </fill>
    <fill>
      <patternFill patternType="solid">
        <fgColor indexed="27"/>
        <bgColor indexed="64"/>
      </patternFill>
    </fill>
    <fill>
      <patternFill patternType="solid">
        <fgColor indexed="22"/>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medium">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double">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hair">
        <color indexed="8"/>
      </bottom>
    </border>
    <border>
      <left style="double">
        <color indexed="8"/>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double">
        <color indexed="8"/>
      </right>
      <top>
        <color indexed="63"/>
      </top>
      <bottom>
        <color indexed="63"/>
      </bottom>
    </border>
    <border>
      <left style="double">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color indexed="63"/>
      </right>
      <top>
        <color indexed="63"/>
      </top>
      <bottom>
        <color indexed="63"/>
      </bottom>
    </border>
    <border>
      <left>
        <color indexed="63"/>
      </left>
      <right style="double">
        <color indexed="8"/>
      </right>
      <top>
        <color indexed="63"/>
      </top>
      <bottom style="double">
        <color indexed="8"/>
      </bottom>
    </border>
    <border>
      <left>
        <color indexed="63"/>
      </left>
      <right>
        <color indexed="63"/>
      </right>
      <top style="double">
        <color indexed="8"/>
      </top>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9" fillId="3" borderId="0" applyNumberFormat="0" applyBorder="0" applyAlignment="0" applyProtection="0"/>
    <xf numFmtId="0" fontId="50" fillId="20" borderId="1" applyNumberFormat="0" applyAlignment="0" applyProtection="0"/>
    <xf numFmtId="0" fontId="51" fillId="21" borderId="2" applyNumberFormat="0" applyAlignment="0" applyProtection="0"/>
    <xf numFmtId="165"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2" fillId="0" borderId="0" applyNumberFormat="0" applyFill="0" applyBorder="0" applyAlignment="0" applyProtection="0"/>
    <xf numFmtId="0" fontId="43" fillId="0" borderId="0" applyNumberFormat="0" applyFill="0" applyBorder="0" applyAlignment="0" applyProtection="0"/>
    <xf numFmtId="0" fontId="53" fillId="4"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2"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22" borderId="0" applyNumberFormat="0" applyBorder="0" applyAlignment="0" applyProtection="0"/>
    <xf numFmtId="0" fontId="0" fillId="23" borderId="7" applyNumberFormat="0" applyFont="0" applyAlignment="0" applyProtection="0"/>
    <xf numFmtId="0" fontId="60" fillId="20" borderId="8" applyNumberFormat="0" applyAlignment="0" applyProtection="0"/>
    <xf numFmtId="9" fontId="0" fillId="0" borderId="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604">
    <xf numFmtId="0" fontId="0" fillId="0" borderId="0" xfId="0" applyAlignment="1">
      <alignment/>
    </xf>
    <xf numFmtId="0" fontId="0" fillId="0" borderId="0" xfId="0" applyAlignment="1">
      <alignment horizontal="center"/>
    </xf>
    <xf numFmtId="0" fontId="1" fillId="0" borderId="10" xfId="0" applyFont="1" applyBorder="1" applyAlignment="1">
      <alignment/>
    </xf>
    <xf numFmtId="0" fontId="0" fillId="0" borderId="10" xfId="0" applyBorder="1" applyAlignment="1">
      <alignment horizontal="center"/>
    </xf>
    <xf numFmtId="49" fontId="1" fillId="0" borderId="10" xfId="42" applyNumberFormat="1" applyFont="1" applyFill="1" applyBorder="1" applyAlignment="1" applyProtection="1">
      <alignment horizontal="right"/>
      <protection/>
    </xf>
    <xf numFmtId="0" fontId="2" fillId="0" borderId="10" xfId="42" applyNumberFormat="1" applyFont="1" applyFill="1" applyBorder="1" applyAlignment="1" applyProtection="1">
      <alignment horizontal="center"/>
      <protection/>
    </xf>
    <xf numFmtId="0" fontId="3" fillId="0" borderId="0" xfId="0" applyFont="1" applyAlignment="1">
      <alignment horizontal="right"/>
    </xf>
    <xf numFmtId="15" fontId="4" fillId="0" borderId="0" xfId="0" applyNumberFormat="1" applyFont="1" applyAlignment="1">
      <alignment horizontal="left"/>
    </xf>
    <xf numFmtId="0" fontId="3" fillId="0" borderId="0" xfId="0" applyFont="1" applyAlignment="1">
      <alignment/>
    </xf>
    <xf numFmtId="20" fontId="4" fillId="0" borderId="0" xfId="0" applyNumberFormat="1" applyFont="1" applyAlignment="1">
      <alignment horizontal="left"/>
    </xf>
    <xf numFmtId="0" fontId="3" fillId="0" borderId="0" xfId="0" applyFont="1" applyAlignment="1">
      <alignment horizontal="center"/>
    </xf>
    <xf numFmtId="0" fontId="0" fillId="0" borderId="0" xfId="0" applyFont="1" applyAlignment="1">
      <alignment horizontal="right"/>
    </xf>
    <xf numFmtId="0" fontId="5" fillId="0" borderId="0" xfId="0" applyFont="1" applyAlignment="1">
      <alignment horizontal="left"/>
    </xf>
    <xf numFmtId="0" fontId="0" fillId="0" borderId="0" xfId="0" applyAlignment="1">
      <alignment horizontal="left"/>
    </xf>
    <xf numFmtId="0" fontId="1" fillId="0" borderId="11" xfId="0" applyFont="1" applyBorder="1" applyAlignment="1">
      <alignment/>
    </xf>
    <xf numFmtId="0" fontId="0" fillId="0" borderId="12" xfId="0" applyBorder="1" applyAlignment="1">
      <alignment horizontal="center"/>
    </xf>
    <xf numFmtId="0" fontId="0" fillId="0" borderId="12" xfId="0" applyFont="1" applyBorder="1" applyAlignment="1">
      <alignment horizontal="right"/>
    </xf>
    <xf numFmtId="14" fontId="5" fillId="0" borderId="13" xfId="0" applyNumberFormat="1" applyFont="1" applyBorder="1" applyAlignment="1">
      <alignment horizontal="center"/>
    </xf>
    <xf numFmtId="0" fontId="0" fillId="0" borderId="0" xfId="0" applyBorder="1" applyAlignment="1">
      <alignment/>
    </xf>
    <xf numFmtId="1" fontId="0" fillId="0" borderId="0" xfId="0" applyNumberFormat="1" applyFont="1" applyAlignment="1">
      <alignment horizontal="center"/>
    </xf>
    <xf numFmtId="0" fontId="0" fillId="0" borderId="0" xfId="0" applyBorder="1" applyAlignment="1">
      <alignment horizontal="center"/>
    </xf>
    <xf numFmtId="0" fontId="0" fillId="0" borderId="0" xfId="0" applyFont="1" applyBorder="1" applyAlignment="1">
      <alignment horizontal="right"/>
    </xf>
    <xf numFmtId="0" fontId="5" fillId="0" borderId="14" xfId="0" applyFont="1" applyBorder="1" applyAlignment="1">
      <alignment horizontal="center"/>
    </xf>
    <xf numFmtId="1" fontId="0" fillId="0" borderId="14" xfId="0" applyNumberFormat="1" applyBorder="1" applyAlignment="1">
      <alignment horizontal="center"/>
    </xf>
    <xf numFmtId="2" fontId="0" fillId="0" borderId="14" xfId="0" applyNumberFormat="1" applyBorder="1" applyAlignment="1">
      <alignment horizontal="center"/>
    </xf>
    <xf numFmtId="0" fontId="0" fillId="0" borderId="14" xfId="0" applyBorder="1" applyAlignment="1">
      <alignment horizontal="center"/>
    </xf>
    <xf numFmtId="0" fontId="0" fillId="0" borderId="0" xfId="0" applyFont="1" applyBorder="1" applyAlignment="1">
      <alignment horizontal="center"/>
    </xf>
    <xf numFmtId="1" fontId="0" fillId="24" borderId="0" xfId="0" applyNumberFormat="1" applyFont="1" applyFill="1" applyBorder="1" applyAlignment="1">
      <alignment horizontal="center"/>
    </xf>
    <xf numFmtId="2" fontId="0" fillId="0" borderId="0" xfId="0" applyNumberFormat="1" applyBorder="1" applyAlignment="1">
      <alignment horizontal="center"/>
    </xf>
    <xf numFmtId="0" fontId="0" fillId="0" borderId="0" xfId="0" applyFont="1" applyAlignment="1">
      <alignment horizontal="center"/>
    </xf>
    <xf numFmtId="2" fontId="0" fillId="0" borderId="0" xfId="0" applyNumberFormat="1" applyFont="1" applyAlignment="1">
      <alignment horizontal="center"/>
    </xf>
    <xf numFmtId="166" fontId="5" fillId="0" borderId="0" xfId="0" applyNumberFormat="1" applyFont="1" applyAlignment="1">
      <alignment horizontal="center"/>
    </xf>
    <xf numFmtId="0" fontId="5" fillId="24" borderId="0" xfId="0" applyFont="1" applyFill="1" applyBorder="1" applyAlignment="1">
      <alignment horizontal="center"/>
    </xf>
    <xf numFmtId="0" fontId="5" fillId="0" borderId="0" xfId="0" applyFont="1" applyBorder="1" applyAlignment="1">
      <alignment horizontal="center"/>
    </xf>
    <xf numFmtId="49" fontId="5" fillId="0" borderId="0" xfId="0" applyNumberFormat="1" applyFont="1" applyAlignment="1">
      <alignment horizontal="center"/>
    </xf>
    <xf numFmtId="0" fontId="5" fillId="0" borderId="0" xfId="0" applyFont="1" applyAlignment="1">
      <alignment horizontal="center"/>
    </xf>
    <xf numFmtId="1" fontId="0" fillId="0" borderId="14" xfId="0" applyNumberFormat="1" applyFont="1" applyBorder="1" applyAlignment="1">
      <alignment horizontal="center"/>
    </xf>
    <xf numFmtId="1" fontId="0" fillId="0" borderId="0" xfId="0" applyNumberFormat="1" applyAlignment="1">
      <alignment/>
    </xf>
    <xf numFmtId="0" fontId="0" fillId="0" borderId="14" xfId="0" applyBorder="1" applyAlignment="1">
      <alignment/>
    </xf>
    <xf numFmtId="1" fontId="0" fillId="0" borderId="0" xfId="0" applyNumberFormat="1" applyFont="1" applyFill="1" applyBorder="1" applyAlignment="1">
      <alignment horizontal="center"/>
    </xf>
    <xf numFmtId="167" fontId="0" fillId="0" borderId="0" xfId="0" applyNumberFormat="1" applyFont="1" applyAlignment="1">
      <alignment horizontal="center"/>
    </xf>
    <xf numFmtId="168" fontId="0" fillId="0" borderId="0" xfId="0" applyNumberFormat="1" applyAlignment="1">
      <alignment horizontal="center"/>
    </xf>
    <xf numFmtId="14" fontId="0" fillId="0" borderId="13" xfId="0" applyNumberFormat="1" applyFont="1" applyBorder="1" applyAlignment="1">
      <alignment horizontal="center"/>
    </xf>
    <xf numFmtId="0" fontId="6" fillId="0" borderId="0" xfId="0" applyFont="1" applyAlignment="1">
      <alignment/>
    </xf>
    <xf numFmtId="167" fontId="0" fillId="0" borderId="14" xfId="0" applyNumberFormat="1" applyFont="1" applyBorder="1" applyAlignment="1">
      <alignment horizontal="center"/>
    </xf>
    <xf numFmtId="0" fontId="7" fillId="0" borderId="0" xfId="0" applyFont="1" applyBorder="1" applyAlignment="1">
      <alignment horizontal="left"/>
    </xf>
    <xf numFmtId="0" fontId="7" fillId="0" borderId="0" xfId="0" applyFont="1" applyAlignment="1">
      <alignment horizontal="right"/>
    </xf>
    <xf numFmtId="0" fontId="0" fillId="0" borderId="0" xfId="0" applyFont="1" applyBorder="1" applyAlignment="1">
      <alignment horizontal="left"/>
    </xf>
    <xf numFmtId="169" fontId="0" fillId="0" borderId="14" xfId="0" applyNumberFormat="1" applyFont="1" applyBorder="1" applyAlignment="1">
      <alignment horizontal="center"/>
    </xf>
    <xf numFmtId="0" fontId="7" fillId="0" borderId="0" xfId="0" applyFont="1" applyAlignment="1">
      <alignment/>
    </xf>
    <xf numFmtId="0" fontId="7" fillId="0" borderId="0" xfId="0" applyFont="1" applyAlignment="1">
      <alignment horizontal="left"/>
    </xf>
    <xf numFmtId="2" fontId="0" fillId="0" borderId="0" xfId="0" applyNumberFormat="1" applyFont="1" applyBorder="1" applyAlignment="1">
      <alignment horizontal="center"/>
    </xf>
    <xf numFmtId="0" fontId="7" fillId="0" borderId="0" xfId="0" applyFont="1" applyBorder="1" applyAlignment="1">
      <alignment horizontal="right"/>
    </xf>
    <xf numFmtId="170" fontId="7" fillId="0" borderId="0" xfId="0" applyNumberFormat="1" applyFont="1" applyBorder="1" applyAlignment="1">
      <alignment horizontal="center"/>
    </xf>
    <xf numFmtId="0" fontId="5" fillId="0" borderId="12" xfId="0" applyFont="1" applyBorder="1" applyAlignment="1">
      <alignment horizontal="center"/>
    </xf>
    <xf numFmtId="0" fontId="7" fillId="0" borderId="0" xfId="0" applyFont="1" applyBorder="1" applyAlignment="1">
      <alignment/>
    </xf>
    <xf numFmtId="0" fontId="0" fillId="0" borderId="0" xfId="0" applyFont="1" applyFill="1" applyAlignment="1">
      <alignment horizontal="right"/>
    </xf>
    <xf numFmtId="14" fontId="5" fillId="0" borderId="0" xfId="0" applyNumberFormat="1" applyFont="1" applyFill="1" applyAlignment="1">
      <alignment horizontal="center"/>
    </xf>
    <xf numFmtId="0" fontId="0" fillId="0" borderId="0" xfId="0" applyFill="1" applyAlignment="1">
      <alignment/>
    </xf>
    <xf numFmtId="0" fontId="0" fillId="0" borderId="0" xfId="0" applyFill="1" applyAlignment="1">
      <alignment horizontal="center"/>
    </xf>
    <xf numFmtId="0" fontId="0" fillId="0" borderId="0" xfId="0" applyFont="1" applyFill="1" applyBorder="1" applyAlignment="1">
      <alignment horizontal="right"/>
    </xf>
    <xf numFmtId="1" fontId="5" fillId="0" borderId="0" xfId="0" applyNumberFormat="1" applyFont="1" applyAlignment="1">
      <alignment horizontal="center"/>
    </xf>
    <xf numFmtId="49" fontId="5" fillId="0" borderId="0" xfId="0" applyNumberFormat="1" applyFont="1" applyFill="1" applyAlignment="1">
      <alignment horizontal="center"/>
    </xf>
    <xf numFmtId="1" fontId="5" fillId="0" borderId="0" xfId="0" applyNumberFormat="1" applyFont="1" applyFill="1" applyAlignment="1">
      <alignment horizontal="center"/>
    </xf>
    <xf numFmtId="1" fontId="0" fillId="0" borderId="0" xfId="0" applyNumberFormat="1" applyAlignment="1">
      <alignment horizontal="center"/>
    </xf>
    <xf numFmtId="0" fontId="8" fillId="0" borderId="0" xfId="0" applyFont="1" applyAlignment="1">
      <alignment horizontal="right"/>
    </xf>
    <xf numFmtId="0" fontId="9" fillId="0" borderId="0" xfId="0" applyFont="1" applyBorder="1" applyAlignment="1">
      <alignment horizontal="center"/>
    </xf>
    <xf numFmtId="49" fontId="5" fillId="0" borderId="0" xfId="0" applyNumberFormat="1" applyFont="1" applyBorder="1" applyAlignment="1">
      <alignment horizontal="center"/>
    </xf>
    <xf numFmtId="171" fontId="5" fillId="0" borderId="0" xfId="0" applyNumberFormat="1" applyFont="1" applyAlignment="1">
      <alignment horizontal="center"/>
    </xf>
    <xf numFmtId="0" fontId="0" fillId="0" borderId="15" xfId="0" applyBorder="1" applyAlignment="1">
      <alignment horizontal="right"/>
    </xf>
    <xf numFmtId="14" fontId="5" fillId="0" borderId="0" xfId="0" applyNumberFormat="1" applyFont="1" applyAlignment="1">
      <alignment horizontal="center"/>
    </xf>
    <xf numFmtId="172" fontId="5" fillId="0" borderId="0" xfId="0" applyNumberFormat="1" applyFont="1" applyBorder="1" applyAlignment="1">
      <alignment horizontal="center"/>
    </xf>
    <xf numFmtId="0" fontId="0" fillId="0" borderId="16" xfId="0" applyFont="1" applyBorder="1" applyAlignment="1">
      <alignment horizontal="center" vertical="center"/>
    </xf>
    <xf numFmtId="0" fontId="10" fillId="0" borderId="14" xfId="0" applyFont="1" applyBorder="1" applyAlignment="1">
      <alignment horizontal="right"/>
    </xf>
    <xf numFmtId="173" fontId="5" fillId="0" borderId="14" xfId="0" applyNumberFormat="1" applyFont="1" applyBorder="1" applyAlignment="1">
      <alignment horizontal="center"/>
    </xf>
    <xf numFmtId="0" fontId="0" fillId="0" borderId="14" xfId="0" applyFont="1" applyBorder="1" applyAlignment="1">
      <alignment horizontal="right"/>
    </xf>
    <xf numFmtId="173" fontId="5" fillId="0" borderId="17" xfId="0" applyNumberFormat="1" applyFont="1" applyBorder="1" applyAlignment="1">
      <alignment horizontal="center"/>
    </xf>
    <xf numFmtId="171" fontId="5" fillId="0" borderId="14" xfId="0" applyNumberFormat="1" applyFont="1" applyBorder="1" applyAlignment="1">
      <alignment horizontal="center"/>
    </xf>
    <xf numFmtId="173" fontId="10" fillId="0" borderId="14" xfId="0" applyNumberFormat="1" applyFont="1" applyBorder="1" applyAlignment="1">
      <alignment horizontal="center"/>
    </xf>
    <xf numFmtId="14" fontId="0" fillId="0" borderId="0" xfId="0" applyNumberFormat="1" applyAlignment="1">
      <alignment horizontal="center"/>
    </xf>
    <xf numFmtId="0" fontId="5" fillId="0" borderId="0" xfId="0" applyFont="1" applyFill="1" applyBorder="1" applyAlignment="1">
      <alignment horizontal="center"/>
    </xf>
    <xf numFmtId="0" fontId="0" fillId="0" borderId="18" xfId="0" applyFont="1" applyFill="1" applyBorder="1" applyAlignment="1">
      <alignment horizontal="right"/>
    </xf>
    <xf numFmtId="174" fontId="5" fillId="0" borderId="19" xfId="0" applyNumberFormat="1" applyFont="1" applyBorder="1" applyAlignment="1">
      <alignment horizontal="center"/>
    </xf>
    <xf numFmtId="0" fontId="11" fillId="0" borderId="0" xfId="0" applyFont="1" applyAlignment="1">
      <alignment horizontal="left"/>
    </xf>
    <xf numFmtId="15" fontId="4" fillId="0" borderId="0" xfId="0" applyNumberFormat="1" applyFont="1" applyAlignment="1">
      <alignment horizontal="center"/>
    </xf>
    <xf numFmtId="0" fontId="1" fillId="0" borderId="0" xfId="0" applyFont="1" applyAlignment="1">
      <alignment horizontal="center"/>
    </xf>
    <xf numFmtId="0" fontId="11" fillId="0" borderId="0" xfId="0" applyFont="1" applyAlignment="1">
      <alignment horizontal="right"/>
    </xf>
    <xf numFmtId="0" fontId="11" fillId="0" borderId="0" xfId="0" applyNumberFormat="1" applyFont="1" applyAlignment="1">
      <alignment horizontal="left"/>
    </xf>
    <xf numFmtId="0" fontId="1" fillId="0" borderId="0" xfId="0" applyFont="1" applyAlignment="1">
      <alignment/>
    </xf>
    <xf numFmtId="14" fontId="12" fillId="0" borderId="0" xfId="0" applyNumberFormat="1" applyFont="1" applyAlignment="1">
      <alignment horizontal="center"/>
    </xf>
    <xf numFmtId="0" fontId="2" fillId="0" borderId="0" xfId="0" applyFont="1" applyAlignment="1">
      <alignment horizontal="center"/>
    </xf>
    <xf numFmtId="0" fontId="1" fillId="0" borderId="0" xfId="0" applyFont="1" applyBorder="1" applyAlignment="1">
      <alignment horizontal="center"/>
    </xf>
    <xf numFmtId="0" fontId="15" fillId="0" borderId="0" xfId="0" applyFont="1" applyAlignment="1">
      <alignment horizontal="center"/>
    </xf>
    <xf numFmtId="0" fontId="15" fillId="0" borderId="0" xfId="0" applyFont="1" applyAlignment="1">
      <alignment/>
    </xf>
    <xf numFmtId="0" fontId="16" fillId="0" borderId="0" xfId="0" applyFont="1" applyAlignment="1">
      <alignment/>
    </xf>
    <xf numFmtId="0" fontId="15" fillId="0" borderId="0" xfId="0" applyFont="1" applyAlignment="1">
      <alignment horizontal="left"/>
    </xf>
    <xf numFmtId="0" fontId="15" fillId="0" borderId="0" xfId="0" applyFont="1" applyBorder="1" applyAlignment="1">
      <alignment horizontal="center"/>
    </xf>
    <xf numFmtId="1" fontId="3" fillId="0" borderId="0" xfId="0" applyNumberFormat="1" applyFont="1" applyAlignment="1">
      <alignment horizontal="center"/>
    </xf>
    <xf numFmtId="0" fontId="3" fillId="0" borderId="0" xfId="0" applyFont="1" applyBorder="1" applyAlignment="1">
      <alignment/>
    </xf>
    <xf numFmtId="0" fontId="3" fillId="0" borderId="0" xfId="0" applyFont="1" applyBorder="1" applyAlignment="1">
      <alignment horizontal="center"/>
    </xf>
    <xf numFmtId="0" fontId="16" fillId="0" borderId="0" xfId="0" applyFont="1" applyBorder="1" applyAlignment="1">
      <alignment/>
    </xf>
    <xf numFmtId="0" fontId="4" fillId="0" borderId="0" xfId="0" applyFont="1" applyAlignment="1">
      <alignment horizontal="center"/>
    </xf>
    <xf numFmtId="0" fontId="17" fillId="0" borderId="0" xfId="0" applyFont="1" applyAlignment="1">
      <alignment horizontal="left"/>
    </xf>
    <xf numFmtId="0" fontId="3" fillId="0" borderId="0" xfId="0" applyFont="1" applyFill="1" applyAlignment="1">
      <alignment horizontal="center"/>
    </xf>
    <xf numFmtId="0" fontId="18" fillId="0" borderId="0" xfId="0" applyFont="1" applyAlignment="1">
      <alignment horizontal="center"/>
    </xf>
    <xf numFmtId="0" fontId="3" fillId="0" borderId="0" xfId="0" applyFont="1" applyFill="1" applyAlignment="1">
      <alignment/>
    </xf>
    <xf numFmtId="0" fontId="16" fillId="0" borderId="0" xfId="0" applyFont="1" applyFill="1" applyAlignment="1">
      <alignment horizontal="left"/>
    </xf>
    <xf numFmtId="0" fontId="16" fillId="0" borderId="0" xfId="0" applyFont="1" applyFill="1" applyAlignment="1">
      <alignment/>
    </xf>
    <xf numFmtId="0" fontId="3" fillId="0" borderId="0" xfId="0" applyFont="1" applyFill="1" applyBorder="1" applyAlignment="1">
      <alignment/>
    </xf>
    <xf numFmtId="0" fontId="3" fillId="0" borderId="0" xfId="0" applyFont="1" applyFill="1" applyBorder="1" applyAlignment="1">
      <alignment horizontal="center"/>
    </xf>
    <xf numFmtId="0" fontId="16" fillId="0" borderId="0" xfId="0" applyFont="1" applyFill="1" applyBorder="1" applyAlignment="1">
      <alignment/>
    </xf>
    <xf numFmtId="0" fontId="16" fillId="0" borderId="0" xfId="0" applyFont="1" applyFill="1" applyBorder="1" applyAlignment="1">
      <alignment horizontal="center"/>
    </xf>
    <xf numFmtId="0" fontId="3" fillId="0" borderId="0" xfId="0" applyFont="1" applyAlignment="1">
      <alignment horizontal="left"/>
    </xf>
    <xf numFmtId="0" fontId="16" fillId="0" borderId="0" xfId="0" applyFont="1" applyAlignment="1">
      <alignment horizontal="center"/>
    </xf>
    <xf numFmtId="1" fontId="3" fillId="0" borderId="0" xfId="0" applyNumberFormat="1" applyFont="1" applyBorder="1" applyAlignment="1">
      <alignment horizontal="center"/>
    </xf>
    <xf numFmtId="1" fontId="3" fillId="0" borderId="0" xfId="0" applyNumberFormat="1" applyFont="1" applyAlignment="1">
      <alignment horizontal="right"/>
    </xf>
    <xf numFmtId="1" fontId="16" fillId="24" borderId="0" xfId="0" applyNumberFormat="1" applyFont="1" applyFill="1" applyAlignment="1">
      <alignment horizontal="center"/>
    </xf>
    <xf numFmtId="171" fontId="3" fillId="0" borderId="0" xfId="0" applyNumberFormat="1" applyFont="1" applyBorder="1" applyAlignment="1">
      <alignment horizontal="center"/>
    </xf>
    <xf numFmtId="1" fontId="3" fillId="0" borderId="0" xfId="0" applyNumberFormat="1" applyFont="1" applyAlignment="1">
      <alignment/>
    </xf>
    <xf numFmtId="0" fontId="3" fillId="0" borderId="0" xfId="0" applyFont="1" applyBorder="1" applyAlignment="1">
      <alignment horizontal="right"/>
    </xf>
    <xf numFmtId="171" fontId="19" fillId="0" borderId="0" xfId="0" applyNumberFormat="1" applyFont="1" applyFill="1" applyBorder="1" applyAlignment="1">
      <alignment horizontal="center"/>
    </xf>
    <xf numFmtId="0" fontId="20" fillId="0" borderId="0" xfId="0" applyFont="1" applyAlignment="1">
      <alignment horizontal="right"/>
    </xf>
    <xf numFmtId="0" fontId="16" fillId="0" borderId="0" xfId="0" applyFont="1" applyBorder="1" applyAlignment="1">
      <alignment horizontal="center"/>
    </xf>
    <xf numFmtId="0" fontId="20" fillId="0" borderId="0" xfId="0" applyFont="1" applyAlignment="1">
      <alignment horizontal="left"/>
    </xf>
    <xf numFmtId="0" fontId="4" fillId="0" borderId="0" xfId="0" applyFont="1" applyAlignment="1">
      <alignment horizontal="left"/>
    </xf>
    <xf numFmtId="1" fontId="15" fillId="0" borderId="0" xfId="0" applyNumberFormat="1" applyFont="1" applyAlignment="1">
      <alignment horizontal="center"/>
    </xf>
    <xf numFmtId="171" fontId="3" fillId="0" borderId="0" xfId="0" applyNumberFormat="1" applyFont="1" applyAlignment="1">
      <alignment horizontal="center"/>
    </xf>
    <xf numFmtId="0" fontId="16" fillId="0" borderId="0" xfId="0" applyFont="1" applyBorder="1" applyAlignment="1">
      <alignment horizontal="left"/>
    </xf>
    <xf numFmtId="1" fontId="3" fillId="0" borderId="0" xfId="0" applyNumberFormat="1" applyFont="1" applyFill="1" applyAlignment="1">
      <alignment horizontal="center"/>
    </xf>
    <xf numFmtId="1" fontId="3" fillId="0" borderId="0" xfId="0" applyNumberFormat="1" applyFont="1" applyAlignment="1">
      <alignment horizontal="left"/>
    </xf>
    <xf numFmtId="0" fontId="3" fillId="0" borderId="0" xfId="0" applyFont="1" applyFill="1" applyAlignment="1">
      <alignment horizontal="right"/>
    </xf>
    <xf numFmtId="168" fontId="16" fillId="24" borderId="0" xfId="0" applyNumberFormat="1" applyFont="1" applyFill="1" applyAlignment="1">
      <alignment horizontal="center"/>
    </xf>
    <xf numFmtId="0" fontId="3" fillId="0" borderId="0" xfId="0" applyFont="1" applyBorder="1" applyAlignment="1">
      <alignment horizontal="left"/>
    </xf>
    <xf numFmtId="0" fontId="19" fillId="0" borderId="0" xfId="0" applyFont="1" applyBorder="1" applyAlignment="1">
      <alignment horizontal="right"/>
    </xf>
    <xf numFmtId="10" fontId="16" fillId="24" borderId="0" xfId="60" applyNumberFormat="1" applyFont="1" applyFill="1" applyBorder="1" applyAlignment="1" applyProtection="1">
      <alignment horizontal="center"/>
      <protection/>
    </xf>
    <xf numFmtId="175" fontId="19" fillId="25" borderId="0" xfId="42" applyNumberFormat="1" applyFont="1" applyFill="1" applyBorder="1" applyAlignment="1" applyProtection="1">
      <alignment horizontal="center"/>
      <protection/>
    </xf>
    <xf numFmtId="0" fontId="19" fillId="0" borderId="0" xfId="0" applyFont="1" applyBorder="1" applyAlignment="1">
      <alignment horizontal="left"/>
    </xf>
    <xf numFmtId="0" fontId="19" fillId="0" borderId="0" xfId="0" applyFont="1" applyBorder="1" applyAlignment="1">
      <alignment/>
    </xf>
    <xf numFmtId="171" fontId="19" fillId="0" borderId="0" xfId="0" applyNumberFormat="1" applyFont="1" applyBorder="1" applyAlignment="1">
      <alignment horizontal="right"/>
    </xf>
    <xf numFmtId="171" fontId="19" fillId="0" borderId="0" xfId="0" applyNumberFormat="1" applyFont="1" applyBorder="1" applyAlignment="1">
      <alignment horizontal="center"/>
    </xf>
    <xf numFmtId="0" fontId="19" fillId="0" borderId="0" xfId="0" applyFont="1" applyBorder="1" applyAlignment="1">
      <alignment horizontal="center"/>
    </xf>
    <xf numFmtId="9" fontId="16" fillId="0" borderId="0" xfId="60" applyFont="1" applyFill="1" applyBorder="1" applyAlignment="1" applyProtection="1">
      <alignment horizontal="center"/>
      <protection/>
    </xf>
    <xf numFmtId="0" fontId="0" fillId="0" borderId="0" xfId="0" applyFont="1" applyAlignment="1">
      <alignment horizontal="left"/>
    </xf>
    <xf numFmtId="0" fontId="21" fillId="0" borderId="0" xfId="0" applyFont="1" applyBorder="1" applyAlignment="1">
      <alignment horizontal="center"/>
    </xf>
    <xf numFmtId="170" fontId="19" fillId="0" borderId="0" xfId="0" applyNumberFormat="1" applyFont="1" applyAlignment="1">
      <alignment horizontal="right"/>
    </xf>
    <xf numFmtId="3" fontId="19" fillId="0" borderId="0" xfId="0" applyNumberFormat="1" applyFont="1" applyFill="1" applyBorder="1" applyAlignment="1">
      <alignment horizontal="right"/>
    </xf>
    <xf numFmtId="170" fontId="3" fillId="0" borderId="0" xfId="0" applyNumberFormat="1" applyFont="1" applyAlignment="1">
      <alignment horizontal="center"/>
    </xf>
    <xf numFmtId="170" fontId="22" fillId="0" borderId="0" xfId="0" applyNumberFormat="1" applyFont="1" applyAlignment="1">
      <alignment/>
    </xf>
    <xf numFmtId="170" fontId="3" fillId="0" borderId="0" xfId="0" applyNumberFormat="1" applyFont="1" applyAlignment="1">
      <alignment horizontal="center" vertical="center"/>
    </xf>
    <xf numFmtId="176" fontId="3" fillId="0" borderId="0" xfId="0" applyNumberFormat="1" applyFont="1" applyAlignment="1">
      <alignment horizontal="left"/>
    </xf>
    <xf numFmtId="175" fontId="3" fillId="0" borderId="0" xfId="0" applyNumberFormat="1" applyFont="1" applyBorder="1" applyAlignment="1">
      <alignment/>
    </xf>
    <xf numFmtId="165" fontId="3" fillId="0" borderId="0" xfId="0" applyNumberFormat="1" applyFont="1" applyAlignment="1">
      <alignment/>
    </xf>
    <xf numFmtId="170" fontId="19" fillId="0" borderId="0" xfId="0" applyNumberFormat="1" applyFont="1" applyBorder="1" applyAlignment="1">
      <alignment horizontal="center"/>
    </xf>
    <xf numFmtId="171" fontId="3" fillId="26" borderId="0" xfId="0" applyNumberFormat="1" applyFont="1" applyFill="1" applyBorder="1" applyAlignment="1">
      <alignment horizontal="center"/>
    </xf>
    <xf numFmtId="175" fontId="19" fillId="0" borderId="0" xfId="42" applyNumberFormat="1" applyFont="1" applyFill="1" applyBorder="1" applyAlignment="1" applyProtection="1">
      <alignment horizontal="center"/>
      <protection/>
    </xf>
    <xf numFmtId="2" fontId="3" fillId="0" borderId="0" xfId="0" applyNumberFormat="1" applyFont="1" applyBorder="1" applyAlignment="1">
      <alignment horizontal="center"/>
    </xf>
    <xf numFmtId="14" fontId="19" fillId="0" borderId="0" xfId="0" applyNumberFormat="1" applyFont="1" applyBorder="1" applyAlignment="1">
      <alignment horizontal="right"/>
    </xf>
    <xf numFmtId="0" fontId="19" fillId="0" borderId="0" xfId="0" applyFont="1" applyAlignment="1">
      <alignment horizontal="center"/>
    </xf>
    <xf numFmtId="0" fontId="19" fillId="0" borderId="0" xfId="0" applyFont="1" applyAlignment="1">
      <alignment/>
    </xf>
    <xf numFmtId="1" fontId="3" fillId="0" borderId="0" xfId="0" applyNumberFormat="1" applyFont="1" applyBorder="1" applyAlignment="1">
      <alignment/>
    </xf>
    <xf numFmtId="0" fontId="23" fillId="0" borderId="0" xfId="0" applyFont="1" applyBorder="1" applyAlignment="1">
      <alignment horizontal="center"/>
    </xf>
    <xf numFmtId="0" fontId="24" fillId="0" borderId="0" xfId="0" applyFont="1" applyBorder="1" applyAlignment="1">
      <alignment horizontal="center"/>
    </xf>
    <xf numFmtId="1" fontId="19" fillId="0" borderId="0" xfId="0" applyNumberFormat="1" applyFont="1" applyBorder="1" applyAlignment="1">
      <alignment horizontal="center"/>
    </xf>
    <xf numFmtId="0" fontId="15" fillId="0" borderId="0" xfId="0" applyFont="1" applyBorder="1" applyAlignment="1">
      <alignment horizontal="left"/>
    </xf>
    <xf numFmtId="2" fontId="19" fillId="0" borderId="0" xfId="0" applyNumberFormat="1" applyFont="1" applyBorder="1" applyAlignment="1">
      <alignment horizontal="center"/>
    </xf>
    <xf numFmtId="0" fontId="19" fillId="0" borderId="10" xfId="0" applyFont="1" applyBorder="1" applyAlignment="1">
      <alignment horizontal="center"/>
    </xf>
    <xf numFmtId="0" fontId="19" fillId="0" borderId="10" xfId="0" applyFont="1" applyBorder="1" applyAlignment="1">
      <alignment/>
    </xf>
    <xf numFmtId="0" fontId="3" fillId="0" borderId="10" xfId="0" applyFont="1" applyBorder="1" applyAlignment="1">
      <alignment/>
    </xf>
    <xf numFmtId="0" fontId="3" fillId="0" borderId="10" xfId="0" applyFont="1" applyBorder="1" applyAlignment="1">
      <alignment horizontal="right"/>
    </xf>
    <xf numFmtId="2" fontId="15" fillId="0" borderId="10" xfId="0" applyNumberFormat="1" applyFont="1" applyBorder="1" applyAlignment="1">
      <alignment horizontal="center"/>
    </xf>
    <xf numFmtId="0" fontId="15" fillId="0" borderId="10" xfId="0" applyFont="1" applyBorder="1" applyAlignment="1">
      <alignment horizontal="left"/>
    </xf>
    <xf numFmtId="0" fontId="3" fillId="0" borderId="10" xfId="0" applyFont="1" applyBorder="1" applyAlignment="1">
      <alignment horizontal="center"/>
    </xf>
    <xf numFmtId="171" fontId="19" fillId="0" borderId="10" xfId="0" applyNumberFormat="1" applyFont="1" applyBorder="1" applyAlignment="1">
      <alignment horizontal="center"/>
    </xf>
    <xf numFmtId="2" fontId="19" fillId="0" borderId="10" xfId="0" applyNumberFormat="1" applyFont="1" applyBorder="1" applyAlignment="1">
      <alignment horizontal="center"/>
    </xf>
    <xf numFmtId="170" fontId="25" fillId="0" borderId="20" xfId="0" applyNumberFormat="1" applyFont="1" applyBorder="1" applyAlignment="1">
      <alignment horizontal="right"/>
    </xf>
    <xf numFmtId="0" fontId="3" fillId="0" borderId="20" xfId="0" applyFont="1" applyBorder="1" applyAlignment="1">
      <alignment/>
    </xf>
    <xf numFmtId="0" fontId="19" fillId="0" borderId="20" xfId="0" applyFont="1" applyBorder="1" applyAlignment="1">
      <alignment horizontal="left"/>
    </xf>
    <xf numFmtId="0" fontId="4" fillId="0" borderId="20" xfId="0" applyFont="1" applyBorder="1" applyAlignment="1">
      <alignment horizontal="center"/>
    </xf>
    <xf numFmtId="0" fontId="17" fillId="0" borderId="0" xfId="0" applyFont="1" applyFill="1" applyAlignment="1">
      <alignment horizontal="center"/>
    </xf>
    <xf numFmtId="0" fontId="4" fillId="0" borderId="0" xfId="0" applyFont="1" applyBorder="1" applyAlignment="1">
      <alignment horizontal="center"/>
    </xf>
    <xf numFmtId="0" fontId="17" fillId="0" borderId="0" xfId="0" applyFont="1" applyAlignment="1">
      <alignment horizontal="center"/>
    </xf>
    <xf numFmtId="0" fontId="17" fillId="0" borderId="20" xfId="0" applyFont="1" applyFill="1" applyBorder="1" applyAlignment="1">
      <alignment horizontal="center"/>
    </xf>
    <xf numFmtId="0" fontId="17" fillId="0" borderId="20" xfId="0" applyFont="1" applyBorder="1" applyAlignment="1">
      <alignment horizontal="center"/>
    </xf>
    <xf numFmtId="0" fontId="4" fillId="0" borderId="10" xfId="0" applyFont="1" applyBorder="1" applyAlignment="1">
      <alignment horizontal="center" wrapText="1"/>
    </xf>
    <xf numFmtId="0" fontId="4" fillId="0" borderId="10" xfId="0" applyFont="1" applyBorder="1" applyAlignment="1">
      <alignment horizontal="center"/>
    </xf>
    <xf numFmtId="0" fontId="4" fillId="0" borderId="21" xfId="0" applyFont="1" applyBorder="1" applyAlignment="1">
      <alignment horizontal="center"/>
    </xf>
    <xf numFmtId="0" fontId="17" fillId="0" borderId="10" xfId="0" applyFont="1" applyFill="1" applyBorder="1" applyAlignment="1">
      <alignment horizontal="center"/>
    </xf>
    <xf numFmtId="0" fontId="17" fillId="0" borderId="10" xfId="0" applyFont="1" applyBorder="1" applyAlignment="1">
      <alignment horizontal="center"/>
    </xf>
    <xf numFmtId="0" fontId="17" fillId="0" borderId="21" xfId="0" applyFont="1" applyFill="1" applyBorder="1" applyAlignment="1">
      <alignment horizontal="center"/>
    </xf>
    <xf numFmtId="0" fontId="17" fillId="0" borderId="21" xfId="0" applyFont="1" applyBorder="1" applyAlignment="1">
      <alignment horizontal="center"/>
    </xf>
    <xf numFmtId="0" fontId="17" fillId="0" borderId="0" xfId="0" applyFont="1" applyFill="1" applyBorder="1" applyAlignment="1">
      <alignment horizontal="center"/>
    </xf>
    <xf numFmtId="0" fontId="17" fillId="0" borderId="0" xfId="0" applyFont="1" applyBorder="1" applyAlignment="1">
      <alignment horizontal="center"/>
    </xf>
    <xf numFmtId="171" fontId="20" fillId="0" borderId="0" xfId="0" applyNumberFormat="1" applyFont="1" applyFill="1" applyAlignment="1">
      <alignment horizontal="center"/>
    </xf>
    <xf numFmtId="171" fontId="4" fillId="0" borderId="0" xfId="0" applyNumberFormat="1" applyFont="1" applyAlignment="1">
      <alignment horizontal="center"/>
    </xf>
    <xf numFmtId="0" fontId="4" fillId="0" borderId="0" xfId="0" applyFont="1" applyAlignment="1">
      <alignment/>
    </xf>
    <xf numFmtId="1" fontId="4" fillId="0" borderId="0" xfId="0" applyNumberFormat="1" applyFont="1" applyAlignment="1">
      <alignment horizontal="center"/>
    </xf>
    <xf numFmtId="0" fontId="3" fillId="0" borderId="20" xfId="0" applyFont="1" applyBorder="1" applyAlignment="1">
      <alignment horizontal="left"/>
    </xf>
    <xf numFmtId="171" fontId="28" fillId="0" borderId="0" xfId="0" applyNumberFormat="1" applyFont="1" applyFill="1" applyAlignment="1">
      <alignment/>
    </xf>
    <xf numFmtId="171" fontId="3" fillId="0" borderId="0" xfId="44" applyNumberFormat="1" applyFont="1" applyFill="1" applyBorder="1" applyAlignment="1" applyProtection="1">
      <alignment horizontal="left"/>
      <protection/>
    </xf>
    <xf numFmtId="171" fontId="4" fillId="0" borderId="0" xfId="0" applyNumberFormat="1" applyFont="1" applyFill="1" applyAlignment="1">
      <alignment horizontal="left"/>
    </xf>
    <xf numFmtId="0" fontId="16" fillId="0" borderId="20" xfId="0" applyFont="1" applyFill="1" applyBorder="1" applyAlignment="1">
      <alignment horizontal="center"/>
    </xf>
    <xf numFmtId="2" fontId="3" fillId="0" borderId="20" xfId="0" applyNumberFormat="1" applyFont="1" applyBorder="1" applyAlignment="1">
      <alignment horizontal="center"/>
    </xf>
    <xf numFmtId="171" fontId="20" fillId="0" borderId="0" xfId="0" applyNumberFormat="1" applyFont="1" applyFill="1" applyBorder="1" applyAlignment="1">
      <alignment horizontal="center"/>
    </xf>
    <xf numFmtId="171" fontId="3" fillId="0" borderId="0" xfId="0" applyNumberFormat="1" applyFont="1" applyFill="1" applyBorder="1" applyAlignment="1">
      <alignment horizontal="center"/>
    </xf>
    <xf numFmtId="1" fontId="4" fillId="0" borderId="0" xfId="0" applyNumberFormat="1" applyFont="1" applyBorder="1" applyAlignment="1">
      <alignment horizontal="center"/>
    </xf>
    <xf numFmtId="0" fontId="17" fillId="0" borderId="0" xfId="0" applyFont="1" applyBorder="1" applyAlignment="1">
      <alignment horizontal="right"/>
    </xf>
    <xf numFmtId="171" fontId="16" fillId="0" borderId="0" xfId="0" applyNumberFormat="1" applyFont="1" applyFill="1" applyAlignment="1">
      <alignment horizontal="center"/>
    </xf>
    <xf numFmtId="171" fontId="3" fillId="0" borderId="0" xfId="0" applyNumberFormat="1" applyFont="1" applyFill="1" applyAlignment="1">
      <alignment horizontal="center"/>
    </xf>
    <xf numFmtId="171" fontId="16" fillId="0" borderId="20" xfId="0" applyNumberFormat="1" applyFont="1" applyFill="1" applyBorder="1" applyAlignment="1">
      <alignment horizontal="center"/>
    </xf>
    <xf numFmtId="2" fontId="16" fillId="0" borderId="20" xfId="0" applyNumberFormat="1" applyFont="1" applyFill="1" applyBorder="1" applyAlignment="1">
      <alignment horizontal="center"/>
    </xf>
    <xf numFmtId="0" fontId="4" fillId="0" borderId="0" xfId="0" applyFont="1" applyAlignment="1">
      <alignment horizontal="right"/>
    </xf>
    <xf numFmtId="1" fontId="4" fillId="0" borderId="22" xfId="0" applyNumberFormat="1" applyFont="1" applyBorder="1" applyAlignment="1">
      <alignment horizontal="center"/>
    </xf>
    <xf numFmtId="1" fontId="4" fillId="0" borderId="23" xfId="0" applyNumberFormat="1" applyFont="1" applyBorder="1" applyAlignment="1">
      <alignment horizontal="center"/>
    </xf>
    <xf numFmtId="0" fontId="4" fillId="0" borderId="10" xfId="0" applyFont="1" applyBorder="1" applyAlignment="1">
      <alignment horizontal="left"/>
    </xf>
    <xf numFmtId="171" fontId="4" fillId="0" borderId="10" xfId="0" applyNumberFormat="1" applyFont="1" applyBorder="1" applyAlignment="1">
      <alignment horizontal="center"/>
    </xf>
    <xf numFmtId="0" fontId="3" fillId="0" borderId="21" xfId="0" applyFont="1" applyBorder="1" applyAlignment="1">
      <alignment/>
    </xf>
    <xf numFmtId="171" fontId="16" fillId="0" borderId="10" xfId="0" applyNumberFormat="1" applyFont="1" applyFill="1" applyBorder="1" applyAlignment="1">
      <alignment/>
    </xf>
    <xf numFmtId="171" fontId="3" fillId="0" borderId="10" xfId="44" applyNumberFormat="1" applyFont="1" applyFill="1" applyBorder="1" applyAlignment="1" applyProtection="1">
      <alignment horizontal="center"/>
      <protection/>
    </xf>
    <xf numFmtId="0" fontId="16" fillId="0" borderId="10" xfId="0" applyFont="1" applyBorder="1" applyAlignment="1">
      <alignment/>
    </xf>
    <xf numFmtId="0" fontId="16" fillId="0" borderId="21" xfId="0" applyFont="1" applyFill="1" applyBorder="1" applyAlignment="1">
      <alignment horizontal="center"/>
    </xf>
    <xf numFmtId="1" fontId="3" fillId="0" borderId="10" xfId="0" applyNumberFormat="1" applyFont="1" applyBorder="1" applyAlignment="1">
      <alignment horizontal="center"/>
    </xf>
    <xf numFmtId="0" fontId="16" fillId="0" borderId="10" xfId="0" applyFont="1" applyBorder="1" applyAlignment="1">
      <alignment horizontal="center"/>
    </xf>
    <xf numFmtId="2" fontId="3" fillId="0" borderId="21" xfId="0" applyNumberFormat="1" applyFont="1" applyBorder="1" applyAlignment="1">
      <alignment horizontal="center"/>
    </xf>
    <xf numFmtId="0" fontId="4" fillId="0" borderId="0" xfId="0" applyFont="1" applyBorder="1" applyAlignment="1">
      <alignment horizontal="left"/>
    </xf>
    <xf numFmtId="0" fontId="4" fillId="0" borderId="0" xfId="0" applyNumberFormat="1" applyFont="1" applyFill="1" applyBorder="1" applyAlignment="1">
      <alignment horizontal="center"/>
    </xf>
    <xf numFmtId="171" fontId="16" fillId="0" borderId="0" xfId="0" applyNumberFormat="1" applyFont="1" applyFill="1" applyBorder="1" applyAlignment="1">
      <alignment/>
    </xf>
    <xf numFmtId="171" fontId="3" fillId="0" borderId="0" xfId="44" applyNumberFormat="1" applyFont="1" applyFill="1" applyBorder="1" applyAlignment="1" applyProtection="1">
      <alignment horizontal="center"/>
      <protection/>
    </xf>
    <xf numFmtId="0" fontId="3" fillId="0" borderId="0" xfId="0" applyNumberFormat="1" applyFont="1" applyFill="1" applyBorder="1" applyAlignment="1">
      <alignment horizontal="center"/>
    </xf>
    <xf numFmtId="2" fontId="16" fillId="0" borderId="0" xfId="0" applyNumberFormat="1" applyFont="1" applyFill="1" applyAlignment="1">
      <alignment horizontal="center"/>
    </xf>
    <xf numFmtId="171" fontId="19" fillId="0" borderId="20" xfId="0" applyNumberFormat="1" applyFont="1" applyFill="1" applyBorder="1" applyAlignment="1">
      <alignment horizontal="center"/>
    </xf>
    <xf numFmtId="171" fontId="19" fillId="0" borderId="0" xfId="0" applyNumberFormat="1" applyFont="1" applyFill="1" applyAlignment="1">
      <alignment horizontal="center"/>
    </xf>
    <xf numFmtId="0" fontId="15" fillId="0" borderId="0" xfId="0" applyFont="1" applyFill="1" applyAlignment="1">
      <alignment/>
    </xf>
    <xf numFmtId="1" fontId="15" fillId="0" borderId="0" xfId="0" applyNumberFormat="1" applyFont="1" applyFill="1" applyAlignment="1">
      <alignment horizontal="center"/>
    </xf>
    <xf numFmtId="0" fontId="15" fillId="0" borderId="0" xfId="0" applyFont="1" applyFill="1" applyAlignment="1">
      <alignment horizontal="left"/>
    </xf>
    <xf numFmtId="1" fontId="29" fillId="0" borderId="10" xfId="0" applyNumberFormat="1" applyFont="1" applyFill="1" applyBorder="1" applyAlignment="1">
      <alignment horizontal="center"/>
    </xf>
    <xf numFmtId="0" fontId="4" fillId="0" borderId="21" xfId="0" applyFont="1" applyBorder="1" applyAlignment="1">
      <alignment/>
    </xf>
    <xf numFmtId="171" fontId="4" fillId="0" borderId="10" xfId="0" applyNumberFormat="1" applyFont="1" applyFill="1" applyBorder="1" applyAlignment="1">
      <alignment/>
    </xf>
    <xf numFmtId="171" fontId="4" fillId="0" borderId="10" xfId="44" applyNumberFormat="1" applyFont="1" applyFill="1" applyBorder="1" applyAlignment="1" applyProtection="1">
      <alignment horizontal="center"/>
      <protection/>
    </xf>
    <xf numFmtId="0" fontId="17" fillId="0" borderId="10" xfId="0" applyFont="1" applyBorder="1" applyAlignment="1">
      <alignment/>
    </xf>
    <xf numFmtId="0" fontId="4" fillId="0" borderId="10" xfId="0" applyFont="1" applyBorder="1" applyAlignment="1">
      <alignment/>
    </xf>
    <xf numFmtId="1" fontId="4" fillId="0" borderId="10" xfId="0" applyNumberFormat="1" applyFont="1" applyBorder="1" applyAlignment="1">
      <alignment horizontal="center"/>
    </xf>
    <xf numFmtId="2" fontId="4" fillId="0" borderId="21" xfId="0" applyNumberFormat="1" applyFont="1" applyBorder="1" applyAlignment="1">
      <alignment horizontal="center"/>
    </xf>
    <xf numFmtId="1" fontId="29" fillId="0" borderId="0" xfId="0" applyNumberFormat="1" applyFont="1" applyFill="1" applyAlignment="1">
      <alignment horizontal="center"/>
    </xf>
    <xf numFmtId="0" fontId="4" fillId="0" borderId="20" xfId="0" applyFont="1" applyBorder="1" applyAlignment="1">
      <alignment/>
    </xf>
    <xf numFmtId="171" fontId="4" fillId="0" borderId="0" xfId="0" applyNumberFormat="1" applyFont="1" applyFill="1" applyAlignment="1">
      <alignment/>
    </xf>
    <xf numFmtId="171" fontId="4" fillId="0" borderId="0" xfId="44" applyNumberFormat="1" applyFont="1" applyFill="1" applyBorder="1" applyAlignment="1" applyProtection="1">
      <alignment horizontal="center"/>
      <protection/>
    </xf>
    <xf numFmtId="0" fontId="17" fillId="0" borderId="0" xfId="0" applyFont="1" applyAlignment="1">
      <alignment/>
    </xf>
    <xf numFmtId="2" fontId="4" fillId="0" borderId="20" xfId="0" applyNumberFormat="1" applyFont="1" applyBorder="1" applyAlignment="1">
      <alignment horizontal="center"/>
    </xf>
    <xf numFmtId="0" fontId="4" fillId="0" borderId="0" xfId="0" applyFont="1" applyFill="1" applyAlignment="1">
      <alignment horizontal="center"/>
    </xf>
    <xf numFmtId="0" fontId="3" fillId="0" borderId="20" xfId="0" applyFont="1" applyFill="1" applyBorder="1" applyAlignment="1">
      <alignment/>
    </xf>
    <xf numFmtId="0" fontId="4" fillId="0" borderId="0" xfId="0" applyFont="1" applyFill="1" applyAlignment="1">
      <alignment horizontal="left"/>
    </xf>
    <xf numFmtId="0" fontId="4" fillId="0" borderId="18" xfId="0" applyFont="1" applyFill="1" applyBorder="1" applyAlignment="1">
      <alignment horizontal="left"/>
    </xf>
    <xf numFmtId="0" fontId="4" fillId="0" borderId="20" xfId="0" applyFont="1" applyFill="1" applyBorder="1" applyAlignment="1">
      <alignment horizontal="left"/>
    </xf>
    <xf numFmtId="171" fontId="30" fillId="0" borderId="0" xfId="0" applyNumberFormat="1" applyFont="1" applyFill="1" applyAlignment="1">
      <alignment horizontal="right"/>
    </xf>
    <xf numFmtId="171" fontId="4" fillId="0" borderId="0" xfId="0" applyNumberFormat="1" applyFont="1" applyFill="1" applyAlignment="1">
      <alignment horizontal="center"/>
    </xf>
    <xf numFmtId="2" fontId="4" fillId="0" borderId="0" xfId="0" applyNumberFormat="1" applyFont="1" applyFill="1" applyAlignment="1">
      <alignment/>
    </xf>
    <xf numFmtId="1" fontId="3" fillId="0" borderId="0" xfId="0" applyNumberFormat="1" applyFont="1" applyFill="1" applyBorder="1" applyAlignment="1">
      <alignment horizontal="center"/>
    </xf>
    <xf numFmtId="2" fontId="30" fillId="0" borderId="0" xfId="0" applyNumberFormat="1" applyFont="1" applyFill="1" applyBorder="1" applyAlignment="1">
      <alignment/>
    </xf>
    <xf numFmtId="171" fontId="4" fillId="0" borderId="0" xfId="0" applyNumberFormat="1" applyFont="1" applyFill="1" applyBorder="1" applyAlignment="1">
      <alignment horizontal="center"/>
    </xf>
    <xf numFmtId="2" fontId="31" fillId="0" borderId="0" xfId="0" applyNumberFormat="1" applyFont="1" applyFill="1" applyBorder="1" applyAlignment="1">
      <alignment horizontal="center"/>
    </xf>
    <xf numFmtId="2" fontId="16" fillId="0" borderId="0" xfId="0" applyNumberFormat="1" applyFont="1" applyFill="1" applyBorder="1" applyAlignment="1">
      <alignment horizontal="center"/>
    </xf>
    <xf numFmtId="0" fontId="19" fillId="0" borderId="0" xfId="0" applyFont="1" applyFill="1" applyAlignment="1">
      <alignment horizontal="center"/>
    </xf>
    <xf numFmtId="2" fontId="3" fillId="0" borderId="0" xfId="0" applyNumberFormat="1" applyFont="1" applyFill="1" applyAlignment="1">
      <alignment horizontal="center"/>
    </xf>
    <xf numFmtId="0" fontId="19" fillId="0" borderId="0" xfId="0" applyFont="1" applyFill="1" applyAlignment="1">
      <alignment/>
    </xf>
    <xf numFmtId="1" fontId="19" fillId="0" borderId="0" xfId="0" applyNumberFormat="1" applyFont="1" applyFill="1" applyAlignment="1">
      <alignment horizontal="center"/>
    </xf>
    <xf numFmtId="0" fontId="3" fillId="0" borderId="0" xfId="0" applyFont="1" applyFill="1" applyAlignment="1">
      <alignment horizontal="left" wrapText="1"/>
    </xf>
    <xf numFmtId="0" fontId="3" fillId="0" borderId="0" xfId="0" applyFont="1" applyFill="1" applyAlignment="1">
      <alignment horizontal="left"/>
    </xf>
    <xf numFmtId="0" fontId="32" fillId="0" borderId="0" xfId="0" applyFont="1" applyFill="1" applyAlignment="1">
      <alignment horizontal="left"/>
    </xf>
    <xf numFmtId="0" fontId="32" fillId="0" borderId="0" xfId="0" applyFont="1" applyFill="1" applyAlignment="1">
      <alignment horizontal="left" wrapText="1"/>
    </xf>
    <xf numFmtId="49" fontId="3" fillId="0" borderId="0" xfId="0" applyNumberFormat="1" applyFont="1" applyFill="1" applyBorder="1" applyAlignment="1">
      <alignment horizontal="center"/>
    </xf>
    <xf numFmtId="0" fontId="32" fillId="0" borderId="0" xfId="0" applyFont="1" applyFill="1" applyBorder="1" applyAlignment="1">
      <alignment horizontal="left"/>
    </xf>
    <xf numFmtId="0" fontId="19" fillId="0" borderId="0" xfId="0" applyFont="1" applyFill="1" applyBorder="1" applyAlignment="1">
      <alignment horizontal="center"/>
    </xf>
    <xf numFmtId="0" fontId="32" fillId="0" borderId="0" xfId="0" applyFont="1" applyFill="1" applyAlignment="1">
      <alignment horizontal="right"/>
    </xf>
    <xf numFmtId="171" fontId="16" fillId="0" borderId="0" xfId="0" applyNumberFormat="1" applyFont="1" applyFill="1" applyAlignment="1">
      <alignment horizontal="left"/>
    </xf>
    <xf numFmtId="0" fontId="3" fillId="0" borderId="10" xfId="0" applyFont="1" applyFill="1" applyBorder="1" applyAlignment="1">
      <alignment horizontal="center"/>
    </xf>
    <xf numFmtId="0" fontId="32" fillId="0" borderId="10" xfId="0" applyFont="1" applyFill="1" applyBorder="1" applyAlignment="1">
      <alignment horizontal="right"/>
    </xf>
    <xf numFmtId="171" fontId="3" fillId="0" borderId="10" xfId="0" applyNumberFormat="1" applyFont="1" applyFill="1" applyBorder="1" applyAlignment="1">
      <alignment horizontal="left"/>
    </xf>
    <xf numFmtId="171" fontId="3" fillId="0" borderId="21" xfId="0" applyNumberFormat="1" applyFont="1" applyFill="1" applyBorder="1" applyAlignment="1">
      <alignment horizontal="center"/>
    </xf>
    <xf numFmtId="171" fontId="28" fillId="0" borderId="10" xfId="0" applyNumberFormat="1" applyFont="1" applyFill="1" applyBorder="1" applyAlignment="1">
      <alignment/>
    </xf>
    <xf numFmtId="171" fontId="3" fillId="0" borderId="10" xfId="0" applyNumberFormat="1" applyFont="1" applyFill="1" applyBorder="1" applyAlignment="1">
      <alignment horizontal="center"/>
    </xf>
    <xf numFmtId="2" fontId="16" fillId="0" borderId="10" xfId="0" applyNumberFormat="1" applyFont="1" applyFill="1" applyBorder="1" applyAlignment="1">
      <alignment horizontal="center"/>
    </xf>
    <xf numFmtId="1" fontId="3" fillId="0" borderId="10" xfId="0" applyNumberFormat="1" applyFont="1" applyFill="1" applyBorder="1" applyAlignment="1">
      <alignment horizontal="center"/>
    </xf>
    <xf numFmtId="171" fontId="19" fillId="0" borderId="21" xfId="0" applyNumberFormat="1" applyFont="1" applyFill="1" applyBorder="1" applyAlignment="1">
      <alignment horizontal="center"/>
    </xf>
    <xf numFmtId="171" fontId="19" fillId="0" borderId="10" xfId="0" applyNumberFormat="1" applyFont="1" applyFill="1" applyBorder="1" applyAlignment="1">
      <alignment horizontal="center"/>
    </xf>
    <xf numFmtId="2" fontId="16" fillId="0" borderId="21" xfId="0" applyNumberFormat="1" applyFont="1" applyFill="1" applyBorder="1" applyAlignment="1">
      <alignment horizontal="center"/>
    </xf>
    <xf numFmtId="171" fontId="29" fillId="0" borderId="0" xfId="0" applyNumberFormat="1" applyFont="1" applyFill="1" applyAlignment="1">
      <alignment horizontal="center"/>
    </xf>
    <xf numFmtId="0" fontId="4" fillId="0" borderId="20" xfId="0" applyFont="1" applyBorder="1" applyAlignment="1">
      <alignment horizontal="left"/>
    </xf>
    <xf numFmtId="2" fontId="17" fillId="0" borderId="0" xfId="0" applyNumberFormat="1" applyFont="1" applyAlignment="1">
      <alignment horizontal="center"/>
    </xf>
    <xf numFmtId="1" fontId="17" fillId="0" borderId="20" xfId="0" applyNumberFormat="1" applyFont="1" applyFill="1" applyBorder="1" applyAlignment="1">
      <alignment horizontal="center"/>
    </xf>
    <xf numFmtId="171" fontId="29" fillId="0" borderId="0" xfId="0" applyNumberFormat="1" applyFont="1" applyAlignment="1">
      <alignment horizontal="center"/>
    </xf>
    <xf numFmtId="2" fontId="17" fillId="0" borderId="20" xfId="0" applyNumberFormat="1" applyFont="1" applyBorder="1" applyAlignment="1">
      <alignment horizontal="center"/>
    </xf>
    <xf numFmtId="171" fontId="4" fillId="0" borderId="0" xfId="0" applyNumberFormat="1" applyFont="1" applyBorder="1" applyAlignment="1">
      <alignment horizontal="center"/>
    </xf>
    <xf numFmtId="0" fontId="4" fillId="0" borderId="18" xfId="0" applyFont="1" applyBorder="1" applyAlignment="1">
      <alignment horizontal="left"/>
    </xf>
    <xf numFmtId="171" fontId="3" fillId="0" borderId="20" xfId="0" applyNumberFormat="1" applyFont="1" applyFill="1" applyBorder="1" applyAlignment="1">
      <alignment horizontal="center"/>
    </xf>
    <xf numFmtId="0" fontId="3" fillId="0" borderId="0" xfId="0" applyFont="1" applyFill="1" applyBorder="1" applyAlignment="1">
      <alignment horizontal="left" wrapText="1"/>
    </xf>
    <xf numFmtId="0" fontId="3" fillId="0" borderId="0" xfId="0" applyFont="1" applyFill="1" applyBorder="1" applyAlignment="1">
      <alignment horizontal="center" wrapText="1"/>
    </xf>
    <xf numFmtId="171" fontId="19" fillId="0" borderId="0" xfId="0" applyNumberFormat="1" applyFont="1" applyFill="1" applyBorder="1" applyAlignment="1">
      <alignment/>
    </xf>
    <xf numFmtId="0" fontId="19" fillId="0" borderId="0" xfId="0" applyFont="1" applyFill="1" applyBorder="1" applyAlignment="1">
      <alignment/>
    </xf>
    <xf numFmtId="0" fontId="16" fillId="0" borderId="20" xfId="0" applyFont="1" applyBorder="1" applyAlignment="1">
      <alignment horizontal="center"/>
    </xf>
    <xf numFmtId="2" fontId="16" fillId="0" borderId="0" xfId="0" applyNumberFormat="1" applyFont="1" applyAlignment="1">
      <alignment horizontal="center"/>
    </xf>
    <xf numFmtId="1" fontId="19" fillId="0" borderId="20" xfId="0" applyNumberFormat="1" applyFont="1" applyFill="1" applyBorder="1" applyAlignment="1">
      <alignment horizontal="center"/>
    </xf>
    <xf numFmtId="171" fontId="19" fillId="0" borderId="0" xfId="0" applyNumberFormat="1" applyFont="1" applyAlignment="1">
      <alignment horizontal="center"/>
    </xf>
    <xf numFmtId="2" fontId="16" fillId="0" borderId="20" xfId="0" applyNumberFormat="1" applyFont="1" applyBorder="1" applyAlignment="1">
      <alignment horizontal="center"/>
    </xf>
    <xf numFmtId="171" fontId="17" fillId="0" borderId="0" xfId="0" applyNumberFormat="1" applyFont="1" applyFill="1" applyAlignment="1">
      <alignment horizontal="center"/>
    </xf>
    <xf numFmtId="171" fontId="28" fillId="0" borderId="0" xfId="0" applyNumberFormat="1" applyFont="1" applyAlignment="1">
      <alignment/>
    </xf>
    <xf numFmtId="0" fontId="3" fillId="0" borderId="20" xfId="0" applyFont="1" applyFill="1" applyBorder="1" applyAlignment="1">
      <alignment horizontal="left"/>
    </xf>
    <xf numFmtId="0" fontId="19" fillId="0" borderId="0" xfId="0" applyFont="1" applyFill="1" applyBorder="1" applyAlignment="1">
      <alignment horizontal="left" wrapText="1"/>
    </xf>
    <xf numFmtId="49" fontId="10" fillId="0" borderId="0" xfId="0" applyNumberFormat="1" applyFont="1" applyFill="1" applyBorder="1" applyAlignment="1">
      <alignment horizontal="center" wrapText="1"/>
    </xf>
    <xf numFmtId="1" fontId="19" fillId="0" borderId="0" xfId="0" applyNumberFormat="1" applyFont="1" applyFill="1" applyBorder="1" applyAlignment="1">
      <alignment horizontal="center"/>
    </xf>
    <xf numFmtId="171" fontId="16" fillId="0" borderId="0" xfId="0" applyNumberFormat="1" applyFont="1" applyFill="1" applyBorder="1" applyAlignment="1">
      <alignment horizontal="center"/>
    </xf>
    <xf numFmtId="0" fontId="4" fillId="0" borderId="0" xfId="0" applyFont="1" applyFill="1" applyAlignment="1">
      <alignment/>
    </xf>
    <xf numFmtId="1" fontId="4" fillId="0" borderId="0" xfId="0" applyNumberFormat="1" applyFont="1" applyFill="1" applyAlignment="1">
      <alignment horizontal="center"/>
    </xf>
    <xf numFmtId="171" fontId="4" fillId="0" borderId="0" xfId="0" applyNumberFormat="1" applyFont="1" applyAlignment="1">
      <alignment horizontal="left"/>
    </xf>
    <xf numFmtId="0" fontId="0" fillId="0" borderId="0" xfId="0" applyFont="1" applyFill="1" applyAlignment="1">
      <alignment horizontal="center" wrapText="1"/>
    </xf>
    <xf numFmtId="49" fontId="3" fillId="0" borderId="0" xfId="0" applyNumberFormat="1" applyFont="1" applyFill="1" applyBorder="1" applyAlignment="1">
      <alignment horizontal="center" wrapText="1"/>
    </xf>
    <xf numFmtId="0" fontId="3" fillId="0" borderId="10" xfId="0" applyFont="1" applyFill="1" applyBorder="1" applyAlignment="1">
      <alignment horizontal="left"/>
    </xf>
    <xf numFmtId="171" fontId="16" fillId="0" borderId="10" xfId="0" applyNumberFormat="1" applyFont="1" applyFill="1" applyBorder="1" applyAlignment="1">
      <alignment horizontal="center"/>
    </xf>
    <xf numFmtId="1" fontId="16" fillId="0" borderId="21" xfId="0" applyNumberFormat="1"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alignment horizontal="center"/>
    </xf>
    <xf numFmtId="1" fontId="16" fillId="0" borderId="20" xfId="0" applyNumberFormat="1" applyFont="1" applyFill="1" applyBorder="1" applyAlignment="1">
      <alignment horizontal="center"/>
    </xf>
    <xf numFmtId="0" fontId="33" fillId="0" borderId="0" xfId="0" applyFont="1" applyAlignment="1">
      <alignment horizontal="center"/>
    </xf>
    <xf numFmtId="0" fontId="28" fillId="0" borderId="0" xfId="0" applyFont="1" applyFill="1" applyAlignment="1">
      <alignment horizontal="left"/>
    </xf>
    <xf numFmtId="171" fontId="33" fillId="0" borderId="0" xfId="0" applyNumberFormat="1" applyFont="1" applyAlignment="1">
      <alignment horizontal="center"/>
    </xf>
    <xf numFmtId="2" fontId="34" fillId="0" borderId="0" xfId="0" applyNumberFormat="1" applyFont="1" applyAlignment="1">
      <alignment horizontal="center"/>
    </xf>
    <xf numFmtId="1" fontId="33" fillId="0" borderId="0" xfId="0" applyNumberFormat="1" applyFont="1" applyAlignment="1">
      <alignment horizontal="center"/>
    </xf>
    <xf numFmtId="1" fontId="34" fillId="0" borderId="20" xfId="0" applyNumberFormat="1" applyFont="1" applyFill="1" applyBorder="1" applyAlignment="1">
      <alignment horizontal="center"/>
    </xf>
    <xf numFmtId="171" fontId="25" fillId="0" borderId="0" xfId="0" applyNumberFormat="1" applyFont="1" applyAlignment="1">
      <alignment horizontal="center"/>
    </xf>
    <xf numFmtId="2" fontId="34" fillId="0" borderId="20" xfId="0" applyNumberFormat="1" applyFont="1" applyBorder="1" applyAlignment="1">
      <alignment horizontal="center"/>
    </xf>
    <xf numFmtId="0" fontId="33" fillId="0" borderId="0" xfId="0" applyFont="1" applyAlignment="1">
      <alignment/>
    </xf>
    <xf numFmtId="0" fontId="33" fillId="0" borderId="0" xfId="0" applyFont="1" applyFill="1" applyAlignment="1">
      <alignment horizontal="center"/>
    </xf>
    <xf numFmtId="0" fontId="4" fillId="0" borderId="0" xfId="0" applyFont="1" applyFill="1" applyAlignment="1">
      <alignment horizontal="right"/>
    </xf>
    <xf numFmtId="171" fontId="17" fillId="0" borderId="0" xfId="0" applyNumberFormat="1" applyFont="1" applyFill="1" applyBorder="1" applyAlignment="1">
      <alignment horizontal="center"/>
    </xf>
    <xf numFmtId="171" fontId="3" fillId="0" borderId="0" xfId="0" applyNumberFormat="1" applyFont="1" applyFill="1" applyAlignment="1">
      <alignment horizontal="left"/>
    </xf>
    <xf numFmtId="2" fontId="34" fillId="0" borderId="0" xfId="0" applyNumberFormat="1" applyFont="1" applyFill="1" applyBorder="1" applyAlignment="1">
      <alignment horizontal="center"/>
    </xf>
    <xf numFmtId="171" fontId="33" fillId="0" borderId="0" xfId="0" applyNumberFormat="1" applyFont="1" applyFill="1" applyBorder="1" applyAlignment="1">
      <alignment horizontal="center"/>
    </xf>
    <xf numFmtId="1" fontId="33" fillId="0" borderId="0" xfId="0" applyNumberFormat="1" applyFont="1" applyFill="1" applyBorder="1" applyAlignment="1">
      <alignment horizontal="center"/>
    </xf>
    <xf numFmtId="171" fontId="25" fillId="0" borderId="0" xfId="0" applyNumberFormat="1" applyFont="1" applyFill="1" applyBorder="1" applyAlignment="1">
      <alignment horizontal="center"/>
    </xf>
    <xf numFmtId="2" fontId="34" fillId="0" borderId="20" xfId="0" applyNumberFormat="1" applyFont="1" applyFill="1" applyBorder="1" applyAlignment="1">
      <alignment horizontal="center"/>
    </xf>
    <xf numFmtId="171" fontId="33" fillId="0" borderId="0" xfId="0" applyNumberFormat="1" applyFont="1" applyFill="1" applyAlignment="1">
      <alignment horizontal="center"/>
    </xf>
    <xf numFmtId="0" fontId="33" fillId="0" borderId="0" xfId="0" applyFont="1" applyFill="1" applyAlignment="1">
      <alignment/>
    </xf>
    <xf numFmtId="1" fontId="33" fillId="0" borderId="0" xfId="0" applyNumberFormat="1" applyFont="1" applyFill="1" applyAlignment="1">
      <alignment horizontal="center"/>
    </xf>
    <xf numFmtId="0" fontId="3" fillId="0" borderId="0" xfId="0" applyFont="1" applyFill="1" applyAlignment="1">
      <alignment wrapText="1"/>
    </xf>
    <xf numFmtId="49" fontId="0" fillId="0" borderId="0" xfId="0" applyNumberFormat="1" applyFont="1" applyFill="1" applyBorder="1" applyAlignment="1">
      <alignment horizontal="center" wrapText="1"/>
    </xf>
    <xf numFmtId="0" fontId="3" fillId="0" borderId="24" xfId="0" applyFont="1" applyBorder="1" applyAlignment="1">
      <alignment horizontal="center"/>
    </xf>
    <xf numFmtId="0" fontId="35" fillId="0" borderId="24" xfId="0" applyFont="1" applyBorder="1" applyAlignment="1">
      <alignment horizontal="left"/>
    </xf>
    <xf numFmtId="1" fontId="35" fillId="0" borderId="24" xfId="0" applyNumberFormat="1" applyFont="1" applyBorder="1" applyAlignment="1">
      <alignment horizontal="center"/>
    </xf>
    <xf numFmtId="1" fontId="35" fillId="0" borderId="25" xfId="0" applyNumberFormat="1" applyFont="1" applyBorder="1" applyAlignment="1">
      <alignment horizontal="center"/>
    </xf>
    <xf numFmtId="171" fontId="3" fillId="0" borderId="24" xfId="0" applyNumberFormat="1" applyFont="1" applyBorder="1" applyAlignment="1">
      <alignment/>
    </xf>
    <xf numFmtId="0" fontId="3" fillId="0" borderId="24" xfId="0" applyFont="1" applyBorder="1" applyAlignment="1">
      <alignment/>
    </xf>
    <xf numFmtId="0" fontId="3" fillId="0" borderId="25" xfId="0" applyFont="1" applyBorder="1" applyAlignment="1">
      <alignment/>
    </xf>
    <xf numFmtId="171" fontId="16" fillId="0" borderId="0" xfId="0" applyNumberFormat="1" applyFont="1" applyAlignment="1">
      <alignment horizontal="center"/>
    </xf>
    <xf numFmtId="0" fontId="3" fillId="0" borderId="18" xfId="0" applyFont="1" applyFill="1" applyBorder="1" applyAlignment="1">
      <alignment/>
    </xf>
    <xf numFmtId="1" fontId="4" fillId="0" borderId="0" xfId="0" applyNumberFormat="1" applyFont="1" applyAlignment="1">
      <alignment horizontal="right"/>
    </xf>
    <xf numFmtId="1" fontId="16" fillId="0" borderId="0" xfId="0" applyNumberFormat="1" applyFont="1" applyAlignment="1">
      <alignment horizontal="center"/>
    </xf>
    <xf numFmtId="2" fontId="17" fillId="0" borderId="0" xfId="0" applyNumberFormat="1" applyFont="1" applyAlignment="1">
      <alignment horizontal="left"/>
    </xf>
    <xf numFmtId="0" fontId="36" fillId="0" borderId="0" xfId="0" applyFont="1" applyAlignment="1">
      <alignment horizontal="left"/>
    </xf>
    <xf numFmtId="0" fontId="36" fillId="0" borderId="0" xfId="0" applyFont="1" applyAlignment="1">
      <alignment horizontal="center"/>
    </xf>
    <xf numFmtId="2" fontId="3" fillId="0" borderId="0" xfId="0" applyNumberFormat="1" applyFont="1" applyAlignment="1">
      <alignment/>
    </xf>
    <xf numFmtId="171" fontId="17" fillId="0" borderId="0" xfId="0" applyNumberFormat="1" applyFont="1" applyAlignment="1">
      <alignment horizontal="center"/>
    </xf>
    <xf numFmtId="1" fontId="29" fillId="0" borderId="0" xfId="0" applyNumberFormat="1" applyFont="1" applyAlignment="1">
      <alignment horizontal="center"/>
    </xf>
    <xf numFmtId="0" fontId="4" fillId="0" borderId="0" xfId="0" applyFont="1" applyAlignment="1">
      <alignment/>
    </xf>
    <xf numFmtId="49" fontId="3" fillId="0" borderId="0" xfId="0" applyNumberFormat="1" applyFont="1" applyBorder="1" applyAlignment="1">
      <alignment horizontal="center"/>
    </xf>
    <xf numFmtId="0" fontId="19" fillId="0" borderId="0" xfId="0" applyFont="1" applyAlignment="1">
      <alignment horizontal="left"/>
    </xf>
    <xf numFmtId="0" fontId="3" fillId="0" borderId="0" xfId="0" applyFont="1" applyAlignment="1">
      <alignment horizontal="left" wrapText="1"/>
    </xf>
    <xf numFmtId="0" fontId="3" fillId="0" borderId="18" xfId="0" applyFont="1" applyBorder="1" applyAlignment="1">
      <alignment horizontal="center"/>
    </xf>
    <xf numFmtId="1" fontId="3" fillId="0" borderId="18" xfId="0" applyNumberFormat="1" applyFont="1" applyBorder="1" applyAlignment="1">
      <alignment horizontal="center"/>
    </xf>
    <xf numFmtId="2" fontId="3" fillId="0" borderId="0" xfId="0" applyNumberFormat="1" applyFont="1" applyAlignment="1">
      <alignment horizontal="center"/>
    </xf>
    <xf numFmtId="171" fontId="3" fillId="0" borderId="0" xfId="0" applyNumberFormat="1" applyFont="1" applyAlignment="1">
      <alignment/>
    </xf>
    <xf numFmtId="49" fontId="0" fillId="0" borderId="0" xfId="0" applyNumberFormat="1" applyFont="1" applyBorder="1" applyAlignment="1">
      <alignment horizontal="center" wrapText="1"/>
    </xf>
    <xf numFmtId="0" fontId="32" fillId="0" borderId="0" xfId="0" applyFont="1" applyAlignment="1">
      <alignment/>
    </xf>
    <xf numFmtId="0" fontId="4" fillId="0" borderId="0" xfId="0" applyNumberFormat="1" applyFont="1" applyFill="1" applyAlignment="1">
      <alignment horizontal="center"/>
    </xf>
    <xf numFmtId="49" fontId="3" fillId="0" borderId="0" xfId="0" applyNumberFormat="1" applyFont="1" applyBorder="1" applyAlignment="1">
      <alignment horizontal="center" wrapText="1"/>
    </xf>
    <xf numFmtId="0" fontId="3" fillId="0" borderId="24" xfId="0" applyFont="1" applyBorder="1" applyAlignment="1">
      <alignment horizontal="left"/>
    </xf>
    <xf numFmtId="0" fontId="16" fillId="0" borderId="25" xfId="0" applyFont="1" applyBorder="1" applyAlignment="1">
      <alignment horizontal="center"/>
    </xf>
    <xf numFmtId="171" fontId="16" fillId="0" borderId="24" xfId="0" applyNumberFormat="1" applyFont="1" applyFill="1" applyBorder="1" applyAlignment="1">
      <alignment horizontal="center"/>
    </xf>
    <xf numFmtId="171" fontId="3" fillId="0" borderId="24" xfId="0" applyNumberFormat="1" applyFont="1" applyBorder="1" applyAlignment="1">
      <alignment horizontal="center"/>
    </xf>
    <xf numFmtId="2" fontId="16" fillId="0" borderId="24" xfId="0" applyNumberFormat="1" applyFont="1" applyBorder="1" applyAlignment="1">
      <alignment horizontal="center"/>
    </xf>
    <xf numFmtId="1" fontId="3" fillId="0" borderId="24" xfId="0" applyNumberFormat="1" applyFont="1" applyBorder="1" applyAlignment="1">
      <alignment horizontal="center"/>
    </xf>
    <xf numFmtId="1" fontId="16" fillId="0" borderId="25" xfId="0" applyNumberFormat="1" applyFont="1" applyFill="1" applyBorder="1" applyAlignment="1">
      <alignment horizontal="center"/>
    </xf>
    <xf numFmtId="171" fontId="19" fillId="0" borderId="24" xfId="0" applyNumberFormat="1" applyFont="1" applyBorder="1" applyAlignment="1">
      <alignment horizontal="center"/>
    </xf>
    <xf numFmtId="2" fontId="16" fillId="0" borderId="25" xfId="0" applyNumberFormat="1" applyFont="1" applyBorder="1" applyAlignment="1">
      <alignment horizontal="center"/>
    </xf>
    <xf numFmtId="2" fontId="17" fillId="0" borderId="0" xfId="0" applyNumberFormat="1" applyFont="1" applyBorder="1" applyAlignment="1">
      <alignment horizontal="center"/>
    </xf>
    <xf numFmtId="1" fontId="29" fillId="0" borderId="0" xfId="0" applyNumberFormat="1" applyFont="1" applyFill="1" applyBorder="1" applyAlignment="1">
      <alignment horizontal="center"/>
    </xf>
    <xf numFmtId="171" fontId="17" fillId="0" borderId="0" xfId="0" applyNumberFormat="1" applyFont="1" applyBorder="1" applyAlignment="1">
      <alignment horizontal="center"/>
    </xf>
    <xf numFmtId="1" fontId="4" fillId="0" borderId="0" xfId="0" applyNumberFormat="1" applyFont="1" applyAlignment="1">
      <alignment horizontal="left"/>
    </xf>
    <xf numFmtId="0" fontId="3" fillId="0" borderId="0" xfId="0" applyNumberFormat="1" applyFont="1" applyBorder="1" applyAlignment="1">
      <alignment horizontal="center"/>
    </xf>
    <xf numFmtId="0" fontId="3" fillId="27" borderId="0" xfId="0" applyFont="1" applyFill="1" applyAlignment="1">
      <alignment/>
    </xf>
    <xf numFmtId="0" fontId="3" fillId="27" borderId="0" xfId="0" applyNumberFormat="1" applyFont="1" applyFill="1" applyBorder="1" applyAlignment="1">
      <alignment horizontal="center"/>
    </xf>
    <xf numFmtId="0" fontId="16" fillId="27" borderId="20" xfId="0" applyFont="1" applyFill="1" applyBorder="1" applyAlignment="1">
      <alignment horizontal="center"/>
    </xf>
    <xf numFmtId="171" fontId="16" fillId="27" borderId="0" xfId="0" applyNumberFormat="1" applyFont="1" applyFill="1" applyAlignment="1">
      <alignment horizontal="center"/>
    </xf>
    <xf numFmtId="171" fontId="3" fillId="27" borderId="0" xfId="0" applyNumberFormat="1" applyFont="1" applyFill="1" applyAlignment="1">
      <alignment horizontal="center"/>
    </xf>
    <xf numFmtId="2" fontId="16" fillId="27" borderId="0" xfId="0" applyNumberFormat="1" applyFont="1" applyFill="1" applyAlignment="1">
      <alignment horizontal="center"/>
    </xf>
    <xf numFmtId="1" fontId="3" fillId="27" borderId="0" xfId="0" applyNumberFormat="1" applyFont="1" applyFill="1" applyAlignment="1">
      <alignment horizontal="center"/>
    </xf>
    <xf numFmtId="1" fontId="19" fillId="27" borderId="20" xfId="0" applyNumberFormat="1" applyFont="1" applyFill="1" applyBorder="1" applyAlignment="1">
      <alignment horizontal="center"/>
    </xf>
    <xf numFmtId="171" fontId="19" fillId="27" borderId="0" xfId="0" applyNumberFormat="1" applyFont="1" applyFill="1" applyAlignment="1">
      <alignment horizontal="center"/>
    </xf>
    <xf numFmtId="2" fontId="16" fillId="27" borderId="20" xfId="0" applyNumberFormat="1" applyFont="1" applyFill="1" applyBorder="1" applyAlignment="1">
      <alignment horizontal="center"/>
    </xf>
    <xf numFmtId="49" fontId="3" fillId="27" borderId="0" xfId="0" applyNumberFormat="1" applyFont="1" applyFill="1" applyBorder="1" applyAlignment="1">
      <alignment horizontal="center"/>
    </xf>
    <xf numFmtId="0" fontId="4" fillId="0" borderId="0" xfId="0" applyNumberFormat="1" applyFont="1" applyAlignment="1">
      <alignment horizontal="center"/>
    </xf>
    <xf numFmtId="0" fontId="3" fillId="0" borderId="20" xfId="0" applyFont="1" applyBorder="1" applyAlignment="1">
      <alignment horizontal="center"/>
    </xf>
    <xf numFmtId="1" fontId="22" fillId="0" borderId="0" xfId="0" applyNumberFormat="1" applyFont="1" applyFill="1" applyAlignment="1">
      <alignment horizontal="center"/>
    </xf>
    <xf numFmtId="0" fontId="22" fillId="0" borderId="0" xfId="0" applyFont="1" applyFill="1" applyAlignment="1">
      <alignment/>
    </xf>
    <xf numFmtId="171" fontId="3" fillId="0" borderId="0" xfId="0" applyNumberFormat="1" applyFont="1" applyFill="1" applyAlignment="1">
      <alignment/>
    </xf>
    <xf numFmtId="0" fontId="29" fillId="0" borderId="0" xfId="0" applyNumberFormat="1" applyFont="1" applyFill="1" applyBorder="1" applyAlignment="1">
      <alignment horizontal="center"/>
    </xf>
    <xf numFmtId="0" fontId="3" fillId="27" borderId="0" xfId="0" applyFont="1" applyFill="1" applyAlignment="1">
      <alignment horizontal="center"/>
    </xf>
    <xf numFmtId="0" fontId="3" fillId="0" borderId="0" xfId="0" applyFont="1" applyAlignment="1">
      <alignment wrapText="1"/>
    </xf>
    <xf numFmtId="0" fontId="3" fillId="0" borderId="0" xfId="0" applyFont="1" applyAlignment="1">
      <alignment horizontal="center" wrapText="1"/>
    </xf>
    <xf numFmtId="0" fontId="16" fillId="0" borderId="20" xfId="0" applyFont="1" applyBorder="1" applyAlignment="1">
      <alignment horizontal="center" wrapText="1"/>
    </xf>
    <xf numFmtId="171" fontId="16" fillId="0" borderId="0" xfId="0" applyNumberFormat="1" applyFont="1" applyFill="1" applyAlignment="1">
      <alignment horizontal="center" wrapText="1"/>
    </xf>
    <xf numFmtId="171" fontId="3" fillId="0" borderId="0" xfId="0" applyNumberFormat="1" applyFont="1" applyAlignment="1">
      <alignment horizontal="center" wrapText="1"/>
    </xf>
    <xf numFmtId="2" fontId="16" fillId="0" borderId="0" xfId="0" applyNumberFormat="1" applyFont="1" applyAlignment="1">
      <alignment horizontal="center" wrapText="1"/>
    </xf>
    <xf numFmtId="1" fontId="3" fillId="0" borderId="0" xfId="0" applyNumberFormat="1" applyFont="1" applyAlignment="1">
      <alignment horizontal="center" wrapText="1"/>
    </xf>
    <xf numFmtId="1" fontId="19" fillId="0" borderId="20" xfId="0" applyNumberFormat="1" applyFont="1" applyFill="1" applyBorder="1" applyAlignment="1">
      <alignment horizontal="center" wrapText="1"/>
    </xf>
    <xf numFmtId="171" fontId="19" fillId="0" borderId="0" xfId="0" applyNumberFormat="1" applyFont="1" applyAlignment="1">
      <alignment horizontal="center" wrapText="1"/>
    </xf>
    <xf numFmtId="2" fontId="16" fillId="0" borderId="20" xfId="0" applyNumberFormat="1" applyFont="1" applyBorder="1" applyAlignment="1">
      <alignment horizontal="center" wrapText="1"/>
    </xf>
    <xf numFmtId="0" fontId="3" fillId="0" borderId="20" xfId="0" applyFont="1" applyFill="1" applyBorder="1" applyAlignment="1">
      <alignment horizontal="center"/>
    </xf>
    <xf numFmtId="0" fontId="16" fillId="0" borderId="20" xfId="0" applyFont="1" applyFill="1" applyBorder="1" applyAlignment="1">
      <alignment horizontal="center" wrapText="1"/>
    </xf>
    <xf numFmtId="49" fontId="3" fillId="0" borderId="24" xfId="0" applyNumberFormat="1" applyFont="1" applyBorder="1" applyAlignment="1">
      <alignment horizontal="center"/>
    </xf>
    <xf numFmtId="1" fontId="19" fillId="0" borderId="25" xfId="0" applyNumberFormat="1" applyFont="1" applyFill="1" applyBorder="1" applyAlignment="1">
      <alignment horizontal="center"/>
    </xf>
    <xf numFmtId="49" fontId="4" fillId="0" borderId="0" xfId="0" applyNumberFormat="1" applyFont="1" applyBorder="1" applyAlignment="1">
      <alignment horizontal="center"/>
    </xf>
    <xf numFmtId="0" fontId="16" fillId="0" borderId="20" xfId="0" applyFont="1" applyBorder="1" applyAlignment="1">
      <alignment horizontal="left"/>
    </xf>
    <xf numFmtId="2" fontId="16" fillId="0" borderId="0" xfId="0" applyNumberFormat="1" applyFont="1" applyBorder="1" applyAlignment="1">
      <alignment horizontal="center"/>
    </xf>
    <xf numFmtId="171" fontId="16" fillId="0" borderId="0" xfId="0" applyNumberFormat="1" applyFont="1" applyBorder="1" applyAlignment="1">
      <alignment horizontal="center"/>
    </xf>
    <xf numFmtId="49" fontId="4" fillId="0" borderId="0" xfId="0" applyNumberFormat="1" applyFont="1" applyFill="1" applyBorder="1" applyAlignment="1">
      <alignment horizontal="center"/>
    </xf>
    <xf numFmtId="0" fontId="3" fillId="0" borderId="18" xfId="0" applyFont="1" applyBorder="1" applyAlignment="1">
      <alignment/>
    </xf>
    <xf numFmtId="1" fontId="4" fillId="0" borderId="0" xfId="0" applyNumberFormat="1" applyFont="1" applyFill="1" applyBorder="1" applyAlignment="1">
      <alignment horizontal="center"/>
    </xf>
    <xf numFmtId="2" fontId="17" fillId="0" borderId="0" xfId="0" applyNumberFormat="1" applyFont="1" applyFill="1" applyBorder="1" applyAlignment="1">
      <alignment horizontal="center"/>
    </xf>
    <xf numFmtId="0" fontId="23" fillId="0" borderId="0" xfId="0" applyFont="1" applyFill="1" applyAlignment="1">
      <alignment/>
    </xf>
    <xf numFmtId="1" fontId="23" fillId="0" borderId="0" xfId="0" applyNumberFormat="1" applyFont="1" applyFill="1" applyAlignment="1">
      <alignment horizontal="center"/>
    </xf>
    <xf numFmtId="0" fontId="0" fillId="0" borderId="10" xfId="0" applyBorder="1" applyAlignment="1">
      <alignment/>
    </xf>
    <xf numFmtId="0" fontId="5" fillId="0" borderId="10" xfId="0" applyFont="1" applyBorder="1" applyAlignment="1">
      <alignment horizontal="center"/>
    </xf>
    <xf numFmtId="0" fontId="8" fillId="0" borderId="0" xfId="0" applyFont="1" applyAlignment="1">
      <alignment/>
    </xf>
    <xf numFmtId="0" fontId="8" fillId="0" borderId="0" xfId="0" applyFont="1" applyAlignment="1">
      <alignment horizontal="center"/>
    </xf>
    <xf numFmtId="15" fontId="0" fillId="0" borderId="0" xfId="0" applyNumberFormat="1" applyAlignment="1">
      <alignment horizontal="center"/>
    </xf>
    <xf numFmtId="0" fontId="7" fillId="0" borderId="0" xfId="0" applyFont="1" applyAlignment="1">
      <alignment horizontal="center"/>
    </xf>
    <xf numFmtId="0" fontId="0" fillId="0" borderId="24" xfId="0" applyFont="1" applyBorder="1" applyAlignment="1">
      <alignment horizontal="center"/>
    </xf>
    <xf numFmtId="0" fontId="0" fillId="0" borderId="24" xfId="0" applyBorder="1" applyAlignment="1">
      <alignment/>
    </xf>
    <xf numFmtId="0" fontId="0" fillId="0" borderId="24" xfId="0" applyFont="1" applyFill="1" applyBorder="1" applyAlignment="1">
      <alignment horizontal="center"/>
    </xf>
    <xf numFmtId="0" fontId="0" fillId="0" borderId="22" xfId="0" applyFont="1" applyBorder="1" applyAlignment="1">
      <alignment horizontal="center"/>
    </xf>
    <xf numFmtId="0" fontId="0" fillId="0" borderId="20" xfId="0" applyFont="1" applyFill="1" applyBorder="1" applyAlignment="1">
      <alignment horizontal="center"/>
    </xf>
    <xf numFmtId="171" fontId="0" fillId="0" borderId="14" xfId="0" applyNumberFormat="1" applyBorder="1" applyAlignment="1">
      <alignment horizontal="center"/>
    </xf>
    <xf numFmtId="171" fontId="0" fillId="0" borderId="14" xfId="0" applyNumberFormat="1" applyFont="1" applyBorder="1" applyAlignment="1">
      <alignment horizontal="center"/>
    </xf>
    <xf numFmtId="171" fontId="0" fillId="0" borderId="14" xfId="0" applyNumberFormat="1" applyBorder="1" applyAlignment="1">
      <alignment/>
    </xf>
    <xf numFmtId="0" fontId="37" fillId="0" borderId="0" xfId="0" applyFont="1" applyAlignment="1">
      <alignment horizontal="right"/>
    </xf>
    <xf numFmtId="171" fontId="0" fillId="0" borderId="16" xfId="0" applyNumberFormat="1" applyBorder="1" applyAlignment="1">
      <alignment horizontal="center"/>
    </xf>
    <xf numFmtId="171" fontId="0" fillId="0" borderId="23" xfId="0" applyNumberFormat="1" applyFont="1" applyBorder="1" applyAlignment="1">
      <alignment horizontal="center"/>
    </xf>
    <xf numFmtId="171" fontId="0" fillId="0" borderId="19" xfId="0" applyNumberFormat="1" applyBorder="1" applyAlignment="1">
      <alignment/>
    </xf>
    <xf numFmtId="2" fontId="0" fillId="0" borderId="0" xfId="0" applyNumberFormat="1" applyAlignment="1">
      <alignment/>
    </xf>
    <xf numFmtId="171" fontId="0" fillId="0" borderId="23" xfId="0" applyNumberFormat="1" applyBorder="1" applyAlignment="1">
      <alignment horizontal="center"/>
    </xf>
    <xf numFmtId="0" fontId="8" fillId="0" borderId="24" xfId="0" applyFont="1" applyBorder="1" applyAlignment="1">
      <alignment horizontal="center"/>
    </xf>
    <xf numFmtId="0" fontId="8" fillId="0" borderId="0" xfId="0" applyFont="1" applyBorder="1" applyAlignment="1">
      <alignment horizontal="center"/>
    </xf>
    <xf numFmtId="0" fontId="7" fillId="0" borderId="24" xfId="0" applyFont="1" applyBorder="1" applyAlignment="1">
      <alignment horizontal="center"/>
    </xf>
    <xf numFmtId="0" fontId="7" fillId="0" borderId="24" xfId="0" applyFont="1" applyBorder="1" applyAlignment="1">
      <alignment horizontal="left"/>
    </xf>
    <xf numFmtId="0" fontId="0" fillId="0" borderId="19" xfId="0" applyBorder="1" applyAlignment="1">
      <alignment/>
    </xf>
    <xf numFmtId="0" fontId="0" fillId="0" borderId="17" xfId="0" applyBorder="1" applyAlignment="1">
      <alignment horizontal="center"/>
    </xf>
    <xf numFmtId="0" fontId="0" fillId="0" borderId="17" xfId="0" applyBorder="1" applyAlignment="1">
      <alignment/>
    </xf>
    <xf numFmtId="0" fontId="0" fillId="0" borderId="26" xfId="0" applyBorder="1" applyAlignment="1">
      <alignment/>
    </xf>
    <xf numFmtId="0" fontId="0" fillId="0" borderId="27" xfId="0" applyBorder="1" applyAlignment="1">
      <alignment horizont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15" xfId="0" applyBorder="1" applyAlignment="1">
      <alignment/>
    </xf>
    <xf numFmtId="0" fontId="0" fillId="0" borderId="32" xfId="0" applyBorder="1" applyAlignment="1">
      <alignment/>
    </xf>
    <xf numFmtId="177" fontId="3" fillId="0" borderId="0" xfId="0" applyNumberFormat="1" applyFont="1" applyAlignment="1">
      <alignment/>
    </xf>
    <xf numFmtId="0" fontId="0" fillId="0" borderId="0" xfId="0" applyFont="1" applyAlignment="1">
      <alignment/>
    </xf>
    <xf numFmtId="0" fontId="22" fillId="0" borderId="0" xfId="0" applyFont="1" applyAlignment="1">
      <alignment/>
    </xf>
    <xf numFmtId="0" fontId="22" fillId="0" borderId="0" xfId="0" applyFont="1" applyAlignment="1">
      <alignment horizontal="center"/>
    </xf>
    <xf numFmtId="0" fontId="0" fillId="0" borderId="0" xfId="0" applyFont="1" applyAlignment="1">
      <alignment horizontal="right" vertical="top"/>
    </xf>
    <xf numFmtId="0" fontId="18" fillId="0" borderId="0" xfId="0" applyFont="1" applyAlignment="1">
      <alignment/>
    </xf>
    <xf numFmtId="170" fontId="5" fillId="0" borderId="0" xfId="0" applyNumberFormat="1" applyFont="1" applyAlignment="1">
      <alignment/>
    </xf>
    <xf numFmtId="170" fontId="0" fillId="0" borderId="0" xfId="0" applyNumberFormat="1" applyFont="1" applyAlignment="1">
      <alignment/>
    </xf>
    <xf numFmtId="168" fontId="5" fillId="0" borderId="0" xfId="0" applyNumberFormat="1" applyFont="1" applyAlignment="1">
      <alignment/>
    </xf>
    <xf numFmtId="0" fontId="5" fillId="0" borderId="0" xfId="0" applyFont="1" applyAlignment="1">
      <alignment/>
    </xf>
    <xf numFmtId="1" fontId="0" fillId="0" borderId="0" xfId="0" applyNumberFormat="1" applyFont="1" applyAlignment="1">
      <alignment/>
    </xf>
    <xf numFmtId="1" fontId="7" fillId="0" borderId="0" xfId="0" applyNumberFormat="1" applyFont="1" applyAlignment="1">
      <alignment/>
    </xf>
    <xf numFmtId="171" fontId="0" fillId="0" borderId="0" xfId="0" applyNumberFormat="1" applyFont="1" applyAlignment="1">
      <alignment/>
    </xf>
    <xf numFmtId="171" fontId="5" fillId="0" borderId="0" xfId="0" applyNumberFormat="1" applyFont="1" applyAlignment="1">
      <alignment/>
    </xf>
    <xf numFmtId="178" fontId="5" fillId="0" borderId="0" xfId="0" applyNumberFormat="1" applyFont="1" applyAlignment="1">
      <alignment/>
    </xf>
    <xf numFmtId="1" fontId="38" fillId="0" borderId="0" xfId="0" applyNumberFormat="1" applyFont="1" applyAlignment="1">
      <alignment/>
    </xf>
    <xf numFmtId="0" fontId="37" fillId="0" borderId="0" xfId="0" applyFont="1" applyAlignment="1">
      <alignment/>
    </xf>
    <xf numFmtId="14" fontId="0" fillId="0" borderId="0" xfId="0" applyNumberFormat="1" applyAlignment="1">
      <alignment/>
    </xf>
    <xf numFmtId="14" fontId="16" fillId="0" borderId="0" xfId="0" applyNumberFormat="1" applyFont="1" applyAlignment="1">
      <alignment horizontal="left"/>
    </xf>
    <xf numFmtId="0" fontId="1" fillId="0" borderId="0" xfId="0" applyFont="1" applyAlignment="1">
      <alignment horizontal="left"/>
    </xf>
    <xf numFmtId="49" fontId="8" fillId="0" borderId="0" xfId="0" applyNumberFormat="1" applyFont="1" applyAlignment="1">
      <alignment/>
    </xf>
    <xf numFmtId="14" fontId="39" fillId="0" borderId="0" xfId="0" applyNumberFormat="1" applyFont="1" applyAlignment="1">
      <alignment/>
    </xf>
    <xf numFmtId="0" fontId="0" fillId="0" borderId="0" xfId="0" applyFont="1" applyBorder="1" applyAlignment="1">
      <alignment/>
    </xf>
    <xf numFmtId="0" fontId="39" fillId="0" borderId="0" xfId="0" applyFont="1" applyAlignment="1">
      <alignment horizontal="center"/>
    </xf>
    <xf numFmtId="178" fontId="0" fillId="0" borderId="0" xfId="0" applyNumberFormat="1" applyFont="1" applyAlignment="1">
      <alignment/>
    </xf>
    <xf numFmtId="0" fontId="0" fillId="0" borderId="24" xfId="0" applyFont="1" applyBorder="1" applyAlignment="1">
      <alignment/>
    </xf>
    <xf numFmtId="14" fontId="39" fillId="0" borderId="0" xfId="0" applyNumberFormat="1" applyFont="1" applyAlignment="1">
      <alignment horizontal="center"/>
    </xf>
    <xf numFmtId="174" fontId="0" fillId="0" borderId="0" xfId="0" applyNumberFormat="1" applyFont="1" applyAlignment="1">
      <alignment/>
    </xf>
    <xf numFmtId="0" fontId="0" fillId="0" borderId="14" xfId="0" applyFont="1" applyBorder="1" applyAlignment="1">
      <alignment horizontal="center"/>
    </xf>
    <xf numFmtId="0" fontId="8" fillId="0" borderId="0" xfId="0" applyFont="1" applyBorder="1" applyAlignment="1">
      <alignment/>
    </xf>
    <xf numFmtId="170" fontId="5" fillId="0" borderId="14" xfId="0" applyNumberFormat="1" applyFont="1" applyBorder="1" applyAlignment="1">
      <alignment/>
    </xf>
    <xf numFmtId="1" fontId="0" fillId="0" borderId="0" xfId="0" applyNumberFormat="1" applyFont="1" applyAlignment="1">
      <alignment horizontal="right"/>
    </xf>
    <xf numFmtId="0" fontId="8" fillId="0" borderId="33" xfId="0" applyFont="1" applyBorder="1" applyAlignment="1">
      <alignment/>
    </xf>
    <xf numFmtId="179" fontId="8" fillId="0" borderId="33" xfId="0" applyNumberFormat="1" applyFont="1" applyBorder="1" applyAlignment="1">
      <alignment/>
    </xf>
    <xf numFmtId="0" fontId="0" fillId="0" borderId="33" xfId="0" applyFont="1" applyBorder="1" applyAlignment="1">
      <alignment/>
    </xf>
    <xf numFmtId="0" fontId="0" fillId="0" borderId="14" xfId="0" applyFont="1" applyBorder="1" applyAlignment="1">
      <alignment/>
    </xf>
    <xf numFmtId="170" fontId="0" fillId="0" borderId="14" xfId="0" applyNumberFormat="1" applyBorder="1" applyAlignment="1">
      <alignment/>
    </xf>
    <xf numFmtId="1" fontId="0" fillId="0" borderId="14" xfId="0" applyNumberFormat="1" applyBorder="1" applyAlignment="1">
      <alignment/>
    </xf>
    <xf numFmtId="0" fontId="8" fillId="0" borderId="34" xfId="0" applyFont="1" applyFill="1" applyBorder="1" applyAlignment="1">
      <alignment/>
    </xf>
    <xf numFmtId="0" fontId="0" fillId="0" borderId="35" xfId="0" applyFont="1" applyFill="1" applyBorder="1" applyAlignment="1">
      <alignment/>
    </xf>
    <xf numFmtId="0" fontId="8" fillId="0" borderId="36" xfId="0" applyFont="1" applyFill="1" applyBorder="1" applyAlignment="1">
      <alignment/>
    </xf>
    <xf numFmtId="0" fontId="8" fillId="0" borderId="0" xfId="0" applyFont="1" applyFill="1" applyAlignment="1">
      <alignment/>
    </xf>
    <xf numFmtId="0" fontId="0" fillId="0" borderId="37" xfId="0" applyFont="1" applyFill="1" applyBorder="1" applyAlignment="1">
      <alignment/>
    </xf>
    <xf numFmtId="0" fontId="8" fillId="0" borderId="38" xfId="0" applyFont="1" applyFill="1" applyBorder="1" applyAlignment="1">
      <alignment/>
    </xf>
    <xf numFmtId="0" fontId="8" fillId="0" borderId="39" xfId="0" applyFont="1" applyFill="1" applyBorder="1" applyAlignment="1">
      <alignment/>
    </xf>
    <xf numFmtId="0" fontId="0" fillId="0" borderId="40" xfId="0" applyFont="1" applyFill="1" applyBorder="1" applyAlignment="1">
      <alignment/>
    </xf>
    <xf numFmtId="0" fontId="0" fillId="0" borderId="0" xfId="0" applyNumberFormat="1" applyAlignment="1">
      <alignment/>
    </xf>
    <xf numFmtId="171" fontId="0" fillId="0" borderId="0" xfId="0" applyNumberFormat="1" applyAlignment="1">
      <alignment/>
    </xf>
    <xf numFmtId="0" fontId="0" fillId="0" borderId="41" xfId="0" applyFont="1" applyFill="1" applyBorder="1" applyAlignment="1">
      <alignment/>
    </xf>
    <xf numFmtId="169" fontId="0" fillId="0" borderId="0" xfId="0" applyNumberFormat="1" applyFont="1" applyFill="1" applyAlignment="1">
      <alignment/>
    </xf>
    <xf numFmtId="169" fontId="0" fillId="0" borderId="37" xfId="0" applyNumberFormat="1" applyFont="1" applyFill="1" applyBorder="1" applyAlignment="1">
      <alignment/>
    </xf>
    <xf numFmtId="0" fontId="0" fillId="0" borderId="36" xfId="0" applyFont="1" applyFill="1" applyBorder="1" applyAlignment="1">
      <alignment/>
    </xf>
    <xf numFmtId="169" fontId="0" fillId="0" borderId="10" xfId="0" applyNumberFormat="1" applyFont="1" applyFill="1" applyBorder="1" applyAlignment="1">
      <alignment/>
    </xf>
    <xf numFmtId="169" fontId="0" fillId="0" borderId="42" xfId="0" applyNumberFormat="1" applyFont="1" applyFill="1" applyBorder="1" applyAlignment="1">
      <alignment/>
    </xf>
    <xf numFmtId="2" fontId="0" fillId="0" borderId="14" xfId="0" applyNumberFormat="1" applyFont="1" applyBorder="1" applyAlignment="1">
      <alignment/>
    </xf>
    <xf numFmtId="1" fontId="0" fillId="0" borderId="14" xfId="0" applyNumberFormat="1" applyFont="1" applyBorder="1" applyAlignment="1">
      <alignment/>
    </xf>
    <xf numFmtId="10" fontId="0" fillId="0" borderId="14" xfId="0" applyNumberFormat="1" applyFont="1" applyBorder="1" applyAlignment="1">
      <alignment/>
    </xf>
    <xf numFmtId="179" fontId="0" fillId="0" borderId="0" xfId="0" applyNumberFormat="1" applyAlignment="1">
      <alignment/>
    </xf>
    <xf numFmtId="0" fontId="5" fillId="28" borderId="40" xfId="0" applyFont="1" applyFill="1" applyBorder="1" applyAlignment="1">
      <alignment/>
    </xf>
    <xf numFmtId="0" fontId="0" fillId="0" borderId="43" xfId="0" applyFont="1" applyFill="1" applyBorder="1" applyAlignment="1">
      <alignment/>
    </xf>
    <xf numFmtId="0" fontId="8" fillId="0" borderId="10" xfId="0" applyFont="1" applyFill="1" applyBorder="1" applyAlignment="1">
      <alignment/>
    </xf>
    <xf numFmtId="0" fontId="0" fillId="0" borderId="10" xfId="0" applyFont="1" applyFill="1" applyBorder="1" applyAlignment="1">
      <alignment/>
    </xf>
    <xf numFmtId="0" fontId="0" fillId="0" borderId="42" xfId="0" applyFont="1" applyFill="1" applyBorder="1" applyAlignment="1">
      <alignment/>
    </xf>
    <xf numFmtId="0" fontId="8" fillId="0" borderId="40" xfId="0" applyFont="1" applyFill="1" applyBorder="1" applyAlignment="1">
      <alignment/>
    </xf>
    <xf numFmtId="0" fontId="8" fillId="0" borderId="41" xfId="0" applyFont="1" applyFill="1" applyBorder="1" applyAlignment="1">
      <alignment/>
    </xf>
    <xf numFmtId="169" fontId="8" fillId="0" borderId="37" xfId="0" applyNumberFormat="1" applyFont="1" applyFill="1" applyBorder="1" applyAlignment="1">
      <alignment/>
    </xf>
    <xf numFmtId="0" fontId="8" fillId="0" borderId="0" xfId="0" applyFont="1" applyFill="1" applyBorder="1" applyAlignment="1">
      <alignment/>
    </xf>
    <xf numFmtId="169" fontId="8" fillId="0" borderId="35" xfId="0" applyNumberFormat="1" applyFont="1" applyFill="1" applyBorder="1" applyAlignment="1">
      <alignment/>
    </xf>
    <xf numFmtId="2" fontId="8" fillId="0" borderId="42" xfId="0" applyNumberFormat="1" applyFont="1" applyFill="1" applyBorder="1" applyAlignment="1">
      <alignment/>
    </xf>
    <xf numFmtId="0" fontId="40" fillId="0" borderId="0" xfId="0" applyFont="1" applyAlignment="1">
      <alignment/>
    </xf>
    <xf numFmtId="0" fontId="1" fillId="0" borderId="24" xfId="0" applyFont="1" applyBorder="1" applyAlignment="1">
      <alignment horizontal="center"/>
    </xf>
    <xf numFmtId="49" fontId="1" fillId="0" borderId="24" xfId="42" applyNumberFormat="1" applyFont="1" applyFill="1" applyBorder="1" applyAlignment="1" applyProtection="1">
      <alignment horizontal="right"/>
      <protection/>
    </xf>
    <xf numFmtId="0" fontId="1" fillId="0" borderId="24" xfId="42" applyNumberFormat="1" applyFont="1" applyFill="1" applyBorder="1" applyAlignment="1" applyProtection="1">
      <alignment horizontal="left"/>
      <protection/>
    </xf>
    <xf numFmtId="170" fontId="5" fillId="0" borderId="0" xfId="0" applyNumberFormat="1" applyFont="1" applyAlignment="1">
      <alignment horizontal="center"/>
    </xf>
    <xf numFmtId="1" fontId="0" fillId="0" borderId="0" xfId="0" applyNumberFormat="1" applyAlignment="1">
      <alignment horizontal="right"/>
    </xf>
    <xf numFmtId="0" fontId="5" fillId="0" borderId="0" xfId="0" applyFont="1" applyAlignment="1">
      <alignment horizontal="right"/>
    </xf>
    <xf numFmtId="49" fontId="0" fillId="0" borderId="0" xfId="0" applyNumberFormat="1" applyFont="1" applyAlignment="1">
      <alignment/>
    </xf>
    <xf numFmtId="180" fontId="0" fillId="0" borderId="0" xfId="0" applyNumberFormat="1" applyAlignment="1">
      <alignment/>
    </xf>
    <xf numFmtId="11" fontId="5" fillId="0" borderId="0" xfId="0" applyNumberFormat="1" applyFont="1" applyAlignment="1">
      <alignment/>
    </xf>
    <xf numFmtId="0" fontId="8" fillId="0" borderId="44" xfId="0" applyFont="1" applyBorder="1" applyAlignment="1">
      <alignment horizontal="center"/>
    </xf>
    <xf numFmtId="0" fontId="7" fillId="0" borderId="44" xfId="0" applyFont="1" applyBorder="1" applyAlignment="1">
      <alignment/>
    </xf>
    <xf numFmtId="0" fontId="38" fillId="0" borderId="0" xfId="0" applyFont="1" applyAlignment="1">
      <alignment/>
    </xf>
    <xf numFmtId="15" fontId="0" fillId="0" borderId="0" xfId="0" applyNumberFormat="1" applyAlignment="1">
      <alignment/>
    </xf>
    <xf numFmtId="0" fontId="0" fillId="0" borderId="18" xfId="0" applyFill="1" applyBorder="1" applyAlignment="1">
      <alignment horizontal="right"/>
    </xf>
    <xf numFmtId="0" fontId="5" fillId="0" borderId="0" xfId="0" applyFont="1" applyBorder="1" applyAlignment="1">
      <alignment horizontal="right"/>
    </xf>
    <xf numFmtId="0" fontId="0" fillId="0" borderId="0" xfId="0" applyAlignment="1">
      <alignment horizontal="right"/>
    </xf>
    <xf numFmtId="0" fontId="0" fillId="29" borderId="0" xfId="0" applyFill="1" applyAlignment="1">
      <alignment/>
    </xf>
    <xf numFmtId="182" fontId="16" fillId="0" borderId="0" xfId="0" applyNumberFormat="1" applyFont="1" applyAlignment="1">
      <alignment/>
    </xf>
    <xf numFmtId="182" fontId="0" fillId="0" borderId="0" xfId="0" applyNumberFormat="1" applyAlignment="1">
      <alignment/>
    </xf>
    <xf numFmtId="171" fontId="0" fillId="0" borderId="45" xfId="0" applyNumberFormat="1" applyFill="1" applyBorder="1" applyAlignment="1">
      <alignment horizontal="center"/>
    </xf>
    <xf numFmtId="171" fontId="0" fillId="0" borderId="16" xfId="0" applyNumberFormat="1" applyBorder="1" applyAlignment="1">
      <alignment/>
    </xf>
    <xf numFmtId="171" fontId="7" fillId="0" borderId="45" xfId="0" applyNumberFormat="1" applyFont="1" applyBorder="1" applyAlignment="1">
      <alignment horizontal="center"/>
    </xf>
    <xf numFmtId="171" fontId="0" fillId="0" borderId="45" xfId="0" applyNumberFormat="1" applyBorder="1" applyAlignment="1">
      <alignment horizontal="center"/>
    </xf>
    <xf numFmtId="0" fontId="0" fillId="0" borderId="45" xfId="0" applyBorder="1" applyAlignment="1">
      <alignment/>
    </xf>
    <xf numFmtId="171" fontId="37" fillId="0" borderId="45" xfId="0" applyNumberFormat="1" applyFont="1" applyBorder="1" applyAlignment="1">
      <alignment horizontal="center"/>
    </xf>
    <xf numFmtId="0" fontId="7" fillId="0" borderId="45" xfId="0" applyFont="1" applyFill="1" applyBorder="1" applyAlignment="1">
      <alignment/>
    </xf>
    <xf numFmtId="171" fontId="7" fillId="0" borderId="45" xfId="0" applyNumberFormat="1" applyFont="1" applyFill="1" applyBorder="1" applyAlignment="1">
      <alignment horizontal="center"/>
    </xf>
    <xf numFmtId="0" fontId="0" fillId="0" borderId="45" xfId="0" applyFill="1" applyBorder="1" applyAlignment="1">
      <alignment/>
    </xf>
    <xf numFmtId="171" fontId="0" fillId="0" borderId="45" xfId="0" applyNumberFormat="1" applyFont="1" applyFill="1" applyBorder="1" applyAlignment="1">
      <alignment horizontal="center"/>
    </xf>
    <xf numFmtId="171" fontId="0" fillId="29" borderId="45" xfId="0" applyNumberFormat="1" applyFill="1" applyBorder="1" applyAlignment="1">
      <alignment horizontal="center"/>
    </xf>
    <xf numFmtId="171" fontId="0" fillId="0" borderId="45" xfId="0" applyNumberFormat="1" applyFill="1" applyBorder="1" applyAlignment="1">
      <alignment/>
    </xf>
    <xf numFmtId="171" fontId="0" fillId="0" borderId="45" xfId="0" applyNumberFormat="1" applyBorder="1" applyAlignment="1">
      <alignment/>
    </xf>
    <xf numFmtId="171" fontId="0" fillId="29" borderId="45" xfId="0" applyNumberFormat="1" applyFont="1" applyFill="1" applyBorder="1" applyAlignment="1">
      <alignment horizontal="center"/>
    </xf>
    <xf numFmtId="20" fontId="0" fillId="0" borderId="0" xfId="0" applyNumberFormat="1" applyAlignment="1">
      <alignment horizontal="center"/>
    </xf>
    <xf numFmtId="183" fontId="0" fillId="0" borderId="0" xfId="0" applyNumberFormat="1" applyAlignment="1">
      <alignment/>
    </xf>
    <xf numFmtId="1" fontId="5" fillId="0" borderId="0" xfId="0" applyNumberFormat="1" applyFont="1" applyAlignment="1">
      <alignment/>
    </xf>
    <xf numFmtId="171" fontId="0" fillId="29" borderId="46" xfId="0" applyNumberFormat="1" applyFill="1" applyBorder="1" applyAlignment="1">
      <alignment horizontal="center"/>
    </xf>
    <xf numFmtId="171" fontId="0" fillId="29" borderId="47" xfId="0" applyNumberFormat="1" applyFill="1" applyBorder="1" applyAlignment="1">
      <alignment horizontal="center"/>
    </xf>
    <xf numFmtId="0" fontId="0" fillId="29" borderId="45" xfId="0" applyFill="1" applyBorder="1" applyAlignment="1">
      <alignment horizontal="center"/>
    </xf>
    <xf numFmtId="171" fontId="16" fillId="29" borderId="0" xfId="0" applyNumberFormat="1" applyFont="1" applyFill="1" applyAlignment="1">
      <alignment horizontal="center"/>
    </xf>
    <xf numFmtId="0" fontId="46" fillId="0" borderId="0" xfId="0" applyFont="1" applyAlignment="1">
      <alignment/>
    </xf>
    <xf numFmtId="183" fontId="8" fillId="0" borderId="0" xfId="0" applyNumberFormat="1" applyFont="1" applyAlignment="1">
      <alignment/>
    </xf>
    <xf numFmtId="0" fontId="0" fillId="0" borderId="48" xfId="0" applyBorder="1" applyAlignment="1">
      <alignment/>
    </xf>
    <xf numFmtId="0" fontId="0" fillId="0" borderId="48" xfId="0" applyBorder="1" applyAlignment="1">
      <alignment horizontal="center"/>
    </xf>
    <xf numFmtId="0" fontId="8" fillId="0" borderId="0" xfId="0" applyFont="1" applyBorder="1" applyAlignment="1">
      <alignment horizontal="left"/>
    </xf>
    <xf numFmtId="0" fontId="0" fillId="0" borderId="0" xfId="0" applyBorder="1" applyAlignment="1">
      <alignment horizontal="centerContinuous" wrapText="1"/>
    </xf>
    <xf numFmtId="0" fontId="0" fillId="0" borderId="0" xfId="0" applyAlignment="1">
      <alignment horizontal="centerContinuous" wrapText="1"/>
    </xf>
    <xf numFmtId="0" fontId="0" fillId="0" borderId="0" xfId="0" applyBorder="1" applyAlignment="1">
      <alignment horizontal="center" wrapText="1"/>
    </xf>
    <xf numFmtId="0" fontId="4" fillId="0" borderId="49" xfId="0" applyFont="1" applyBorder="1" applyAlignment="1">
      <alignment wrapText="1"/>
    </xf>
    <xf numFmtId="0" fontId="0" fillId="0" borderId="50" xfId="0" applyBorder="1" applyAlignment="1">
      <alignment horizontal="center" wrapText="1"/>
    </xf>
    <xf numFmtId="0" fontId="0" fillId="0" borderId="49" xfId="0" applyBorder="1" applyAlignment="1">
      <alignment horizontal="center" wrapText="1"/>
    </xf>
    <xf numFmtId="0" fontId="0" fillId="0" borderId="48" xfId="0" applyFont="1" applyBorder="1" applyAlignment="1">
      <alignment horizontal="center" wrapText="1"/>
    </xf>
    <xf numFmtId="0" fontId="0" fillId="0" borderId="48" xfId="0" applyBorder="1" applyAlignment="1">
      <alignment horizontal="center" wrapText="1"/>
    </xf>
    <xf numFmtId="0" fontId="3" fillId="0" borderId="0" xfId="0" applyFont="1" applyAlignment="1">
      <alignment horizontal="right"/>
    </xf>
    <xf numFmtId="171" fontId="3" fillId="0" borderId="0" xfId="0" applyNumberFormat="1" applyFont="1" applyAlignment="1">
      <alignment/>
    </xf>
    <xf numFmtId="16" fontId="3" fillId="0" borderId="0" xfId="0" applyNumberFormat="1" applyFont="1" applyAlignment="1">
      <alignment/>
    </xf>
    <xf numFmtId="171" fontId="3" fillId="0" borderId="0" xfId="0" applyNumberFormat="1" applyFont="1" applyBorder="1" applyAlignment="1">
      <alignment/>
    </xf>
    <xf numFmtId="171" fontId="3" fillId="0" borderId="24" xfId="0" applyNumberFormat="1" applyFont="1" applyBorder="1" applyAlignment="1">
      <alignment/>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xf>
    <xf numFmtId="0" fontId="0" fillId="0" borderId="24" xfId="0" applyFont="1" applyBorder="1" applyAlignment="1">
      <alignment/>
    </xf>
    <xf numFmtId="0" fontId="0" fillId="0" borderId="14" xfId="0" applyFont="1" applyBorder="1" applyAlignment="1">
      <alignment horizontal="center"/>
    </xf>
    <xf numFmtId="0" fontId="8" fillId="0" borderId="36" xfId="0" applyFont="1" applyFill="1" applyBorder="1" applyAlignment="1">
      <alignment/>
    </xf>
    <xf numFmtId="0" fontId="8" fillId="0" borderId="34" xfId="0" applyFont="1" applyFill="1" applyBorder="1" applyAlignment="1">
      <alignment/>
    </xf>
    <xf numFmtId="0" fontId="8" fillId="0" borderId="24" xfId="0" applyFont="1" applyBorder="1" applyAlignment="1">
      <alignment/>
    </xf>
    <xf numFmtId="0" fontId="39" fillId="28" borderId="38" xfId="0" applyFont="1" applyFill="1" applyBorder="1" applyAlignment="1">
      <alignment/>
    </xf>
    <xf numFmtId="0" fontId="0" fillId="0" borderId="0" xfId="0" applyBorder="1" applyAlignment="1">
      <alignment horizontal="center" wrapText="1"/>
    </xf>
    <xf numFmtId="0" fontId="0" fillId="0" borderId="0" xfId="0" applyFont="1" applyBorder="1" applyAlignment="1">
      <alignment horizontal="center" wrapText="1"/>
    </xf>
    <xf numFmtId="17" fontId="5" fillId="0" borderId="0" xfId="0" applyNumberFormat="1"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Sheet1"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170"/>
  <sheetViews>
    <sheetView tabSelected="1" zoomScalePageLayoutView="0" workbookViewId="0" topLeftCell="A139">
      <selection activeCell="H143" sqref="H143"/>
    </sheetView>
  </sheetViews>
  <sheetFormatPr defaultColWidth="11.421875" defaultRowHeight="12.75"/>
  <cols>
    <col min="1" max="1" width="25.140625" style="0" customWidth="1"/>
    <col min="2" max="2" width="21.421875" style="1" customWidth="1"/>
    <col min="3" max="3" width="20.00390625" style="0" customWidth="1"/>
    <col min="4" max="4" width="18.7109375" style="1" customWidth="1"/>
    <col min="5" max="5" width="11.8515625" style="0" customWidth="1"/>
    <col min="6" max="16384" width="8.8515625" style="0" customWidth="1"/>
  </cols>
  <sheetData>
    <row r="1" spans="1:4" ht="16.5">
      <c r="A1" s="2" t="s">
        <v>128</v>
      </c>
      <c r="B1" s="3"/>
      <c r="C1" s="4" t="s">
        <v>129</v>
      </c>
      <c r="D1" s="5">
        <v>139</v>
      </c>
    </row>
    <row r="2" spans="1:4" s="8" customFormat="1" ht="15">
      <c r="A2" s="6" t="s">
        <v>130</v>
      </c>
      <c r="B2" s="7">
        <f ca="1">NOW()</f>
        <v>39995.763402777775</v>
      </c>
      <c r="D2" s="1" t="s">
        <v>131</v>
      </c>
    </row>
    <row r="3" spans="1:4" s="8" customFormat="1" ht="15">
      <c r="A3" s="6" t="s">
        <v>132</v>
      </c>
      <c r="B3" s="9">
        <f ca="1">NOW()</f>
        <v>39995.763402777775</v>
      </c>
      <c r="D3" s="10"/>
    </row>
    <row r="4" spans="1:2" ht="12">
      <c r="A4" s="11" t="s">
        <v>133</v>
      </c>
      <c r="B4" s="12" t="s">
        <v>67</v>
      </c>
    </row>
    <row r="5" ht="12">
      <c r="B5" s="13"/>
    </row>
    <row r="6" spans="1:5" ht="16.5">
      <c r="A6" s="14" t="s">
        <v>134</v>
      </c>
      <c r="B6" s="15"/>
      <c r="C6" s="16" t="s">
        <v>135</v>
      </c>
      <c r="D6" s="17">
        <v>39364</v>
      </c>
      <c r="E6" s="18"/>
    </row>
    <row r="7" ht="12">
      <c r="C7" s="11" t="s">
        <v>136</v>
      </c>
    </row>
    <row r="8" ht="12">
      <c r="C8" s="11"/>
    </row>
    <row r="9" spans="2:4" ht="12">
      <c r="B9" s="11" t="s">
        <v>137</v>
      </c>
      <c r="C9" s="19">
        <v>25</v>
      </c>
      <c r="D9" t="s">
        <v>138</v>
      </c>
    </row>
    <row r="10" spans="1:4" ht="12">
      <c r="A10" s="20"/>
      <c r="B10" s="20" t="s">
        <v>139</v>
      </c>
      <c r="C10" s="20" t="s">
        <v>140</v>
      </c>
      <c r="D10" s="20" t="s">
        <v>141</v>
      </c>
    </row>
    <row r="11" spans="1:4" ht="12">
      <c r="A11" s="21" t="s">
        <v>142</v>
      </c>
      <c r="B11" s="22">
        <v>410</v>
      </c>
      <c r="C11" s="23">
        <f>B11+C$9</f>
        <v>435</v>
      </c>
      <c r="D11" s="24">
        <f>(C11-C14)*B16</f>
        <v>-11.355263134387739</v>
      </c>
    </row>
    <row r="12" spans="1:4" ht="12">
      <c r="A12" s="21" t="s">
        <v>143</v>
      </c>
      <c r="B12" s="22">
        <v>3749</v>
      </c>
      <c r="C12" s="23">
        <f>B12-C$9</f>
        <v>3724</v>
      </c>
      <c r="D12" s="24">
        <f>(C12-C14)*B16</f>
        <v>3.77413686561226</v>
      </c>
    </row>
    <row r="13" spans="1:4" ht="12">
      <c r="A13" s="21" t="s">
        <v>144</v>
      </c>
      <c r="B13" s="25"/>
      <c r="C13" s="25"/>
      <c r="D13" s="24">
        <f>D12-D11</f>
        <v>15.129399999999999</v>
      </c>
    </row>
    <row r="14" spans="1:4" ht="12">
      <c r="A14" s="21" t="s">
        <v>145</v>
      </c>
      <c r="B14" s="26" t="s">
        <v>146</v>
      </c>
      <c r="C14" s="27">
        <f>Trim!E27</f>
        <v>2903.535463997335</v>
      </c>
      <c r="D14" s="28">
        <f>(C14-C14)*B17</f>
        <v>0</v>
      </c>
    </row>
    <row r="15" spans="1:4" ht="12">
      <c r="A15" s="11"/>
      <c r="D15" s="1" t="s">
        <v>147</v>
      </c>
    </row>
    <row r="16" spans="1:4" ht="12">
      <c r="A16" s="21" t="s">
        <v>148</v>
      </c>
      <c r="B16" s="29">
        <v>0.0046</v>
      </c>
      <c r="C16" t="s">
        <v>149</v>
      </c>
      <c r="D16" s="13" t="s">
        <v>150</v>
      </c>
    </row>
    <row r="17" spans="1:4" ht="12">
      <c r="A17" s="11" t="s">
        <v>151</v>
      </c>
      <c r="B17" s="30">
        <v>217.39</v>
      </c>
      <c r="C17" t="s">
        <v>152</v>
      </c>
      <c r="D17" s="13"/>
    </row>
    <row r="18" spans="1:4" ht="12">
      <c r="A18" s="11" t="s">
        <v>153</v>
      </c>
      <c r="B18" s="13" t="s">
        <v>154</v>
      </c>
      <c r="D18" s="13"/>
    </row>
    <row r="19" spans="1:4" ht="12">
      <c r="A19" s="11"/>
      <c r="B19" s="13" t="s">
        <v>155</v>
      </c>
      <c r="D19" s="13"/>
    </row>
    <row r="20" spans="1:2" ht="12">
      <c r="A20" s="11"/>
      <c r="B20" s="31"/>
    </row>
    <row r="21" spans="1:4" ht="16.5">
      <c r="A21" s="14" t="s">
        <v>156</v>
      </c>
      <c r="B21" s="15"/>
      <c r="C21" s="16" t="s">
        <v>135</v>
      </c>
      <c r="D21" s="17">
        <v>39366</v>
      </c>
    </row>
    <row r="22" spans="3:5" ht="12">
      <c r="C22" s="11" t="s">
        <v>136</v>
      </c>
      <c r="E22" s="18"/>
    </row>
    <row r="24" spans="2:4" ht="12">
      <c r="B24" s="11" t="s">
        <v>137</v>
      </c>
      <c r="C24" s="19">
        <v>150</v>
      </c>
      <c r="D24" t="s">
        <v>138</v>
      </c>
    </row>
    <row r="25" spans="1:4" ht="12">
      <c r="A25" s="20"/>
      <c r="B25" s="20" t="s">
        <v>139</v>
      </c>
      <c r="C25" s="20" t="s">
        <v>140</v>
      </c>
      <c r="D25" s="20" t="s">
        <v>157</v>
      </c>
    </row>
    <row r="26" spans="1:4" ht="12">
      <c r="A26" s="21" t="s">
        <v>158</v>
      </c>
      <c r="B26" s="22">
        <v>77</v>
      </c>
      <c r="C26" s="23">
        <f>B26+C$24</f>
        <v>227</v>
      </c>
      <c r="D26" s="24">
        <f>(C26-C28)*B31</f>
        <v>-55.77671</v>
      </c>
    </row>
    <row r="27" spans="1:4" ht="12">
      <c r="A27" s="21" t="s">
        <v>159</v>
      </c>
      <c r="B27" s="22">
        <v>4081</v>
      </c>
      <c r="C27" s="23">
        <f>B27-C$24</f>
        <v>3931</v>
      </c>
      <c r="D27" s="24">
        <f>(C27-C28)*B31</f>
        <v>48.93537</v>
      </c>
    </row>
    <row r="28" spans="1:4" ht="12">
      <c r="A28" s="21" t="s">
        <v>160</v>
      </c>
      <c r="B28" s="20"/>
      <c r="C28" s="32">
        <v>2200</v>
      </c>
      <c r="D28" s="18" t="s">
        <v>161</v>
      </c>
    </row>
    <row r="29" spans="1:4" ht="12">
      <c r="A29" s="21" t="s">
        <v>162</v>
      </c>
      <c r="B29" s="33"/>
      <c r="C29" s="32">
        <v>2200</v>
      </c>
      <c r="D29" s="18" t="s">
        <v>163</v>
      </c>
    </row>
    <row r="30" ht="12">
      <c r="A30" s="11"/>
    </row>
    <row r="31" spans="1:4" ht="12">
      <c r="A31" s="21" t="s">
        <v>148</v>
      </c>
      <c r="B31" s="29">
        <v>0.02827</v>
      </c>
      <c r="C31" t="s">
        <v>164</v>
      </c>
      <c r="D31" s="13" t="s">
        <v>165</v>
      </c>
    </row>
    <row r="32" spans="1:4" ht="12">
      <c r="A32" s="11" t="s">
        <v>151</v>
      </c>
      <c r="B32" s="29">
        <v>35.37</v>
      </c>
      <c r="C32" t="s">
        <v>166</v>
      </c>
      <c r="D32" s="13"/>
    </row>
    <row r="33" spans="1:4" ht="12">
      <c r="A33" s="11" t="s">
        <v>167</v>
      </c>
      <c r="B33" s="13" t="s">
        <v>168</v>
      </c>
      <c r="D33" s="13"/>
    </row>
    <row r="35" spans="1:4" ht="16.5">
      <c r="A35" s="14" t="s">
        <v>169</v>
      </c>
      <c r="B35" s="15"/>
      <c r="C35" s="16" t="s">
        <v>135</v>
      </c>
      <c r="D35" s="17">
        <v>39261</v>
      </c>
    </row>
    <row r="36" spans="3:5" ht="12">
      <c r="C36" s="11" t="s">
        <v>136</v>
      </c>
      <c r="E36" s="18"/>
    </row>
    <row r="37" spans="1:2" ht="12">
      <c r="A37" s="11" t="s">
        <v>170</v>
      </c>
      <c r="B37" s="34" t="s">
        <v>171</v>
      </c>
    </row>
    <row r="38" spans="1:4" ht="12">
      <c r="A38" s="11" t="s">
        <v>172</v>
      </c>
      <c r="B38" s="35">
        <v>1327473</v>
      </c>
      <c r="D38" s="13"/>
    </row>
    <row r="39" spans="2:4" ht="12">
      <c r="B39" s="11" t="s">
        <v>137</v>
      </c>
      <c r="C39" s="19">
        <v>100</v>
      </c>
      <c r="D39" t="s">
        <v>138</v>
      </c>
    </row>
    <row r="40" spans="1:4" ht="12">
      <c r="A40" s="20"/>
      <c r="B40" s="20" t="s">
        <v>139</v>
      </c>
      <c r="C40" s="20" t="s">
        <v>140</v>
      </c>
      <c r="D40" s="20" t="s">
        <v>173</v>
      </c>
    </row>
    <row r="41" spans="1:4" ht="12">
      <c r="A41" s="21" t="s">
        <v>174</v>
      </c>
      <c r="B41" s="22">
        <v>350</v>
      </c>
      <c r="C41" s="36">
        <f>B41+C$39</f>
        <v>450</v>
      </c>
      <c r="D41" s="23">
        <f>(C41-C44)*B46</f>
        <v>514.0268539189409</v>
      </c>
    </row>
    <row r="42" spans="1:5" ht="12">
      <c r="A42" s="21" t="s">
        <v>175</v>
      </c>
      <c r="B42" s="22">
        <v>3960</v>
      </c>
      <c r="C42" s="36">
        <f>B42-C39</f>
        <v>3860</v>
      </c>
      <c r="D42" s="23">
        <f>(C42-C44)*B46</f>
        <v>-322.4325060810591</v>
      </c>
      <c r="E42" s="37"/>
    </row>
    <row r="43" spans="1:5" ht="12">
      <c r="A43" s="21" t="s">
        <v>176</v>
      </c>
      <c r="B43" s="25"/>
      <c r="C43" s="38"/>
      <c r="D43" s="23">
        <f>D41-D42</f>
        <v>836.4593600000001</v>
      </c>
      <c r="E43" s="37"/>
    </row>
    <row r="44" spans="1:5" ht="12">
      <c r="A44" s="21" t="s">
        <v>177</v>
      </c>
      <c r="B44" s="20" t="s">
        <v>178</v>
      </c>
      <c r="C44" s="27">
        <f>Trim!E20</f>
        <v>2545.537040632301</v>
      </c>
      <c r="D44" s="20" t="s">
        <v>179</v>
      </c>
      <c r="E44" s="37"/>
    </row>
    <row r="45" ht="12">
      <c r="B45" s="39"/>
    </row>
    <row r="46" spans="1:4" ht="12">
      <c r="A46" s="21" t="s">
        <v>148</v>
      </c>
      <c r="B46" s="40">
        <v>-0.245296</v>
      </c>
      <c r="C46" t="s">
        <v>180</v>
      </c>
      <c r="D46" s="13" t="s">
        <v>181</v>
      </c>
    </row>
    <row r="47" spans="1:4" ht="12">
      <c r="A47" s="11" t="s">
        <v>151</v>
      </c>
      <c r="B47" s="41">
        <f>1/B46</f>
        <v>-4.076707325027722</v>
      </c>
      <c r="C47" t="s">
        <v>182</v>
      </c>
      <c r="D47" s="13"/>
    </row>
    <row r="48" spans="1:4" ht="12">
      <c r="A48" s="11" t="s">
        <v>183</v>
      </c>
      <c r="B48" s="13" t="s">
        <v>184</v>
      </c>
      <c r="D48" s="13"/>
    </row>
    <row r="49" spans="1:4" ht="12">
      <c r="A49" s="11"/>
      <c r="B49" s="11" t="s">
        <v>185</v>
      </c>
      <c r="D49" s="13"/>
    </row>
    <row r="51" spans="1:4" ht="16.5">
      <c r="A51" s="14" t="s">
        <v>186</v>
      </c>
      <c r="B51" s="15"/>
      <c r="C51" s="16" t="s">
        <v>135</v>
      </c>
      <c r="D51" s="42">
        <f>'Pres cal'!D1</f>
        <v>39300</v>
      </c>
    </row>
    <row r="52" spans="1:5" ht="12">
      <c r="A52" s="43" t="s">
        <v>187</v>
      </c>
      <c r="C52" s="11" t="s">
        <v>136</v>
      </c>
      <c r="E52" s="18"/>
    </row>
    <row r="53" ht="12">
      <c r="B53" s="1" t="s">
        <v>188</v>
      </c>
    </row>
    <row r="54" spans="1:4" ht="12">
      <c r="A54" s="11" t="s">
        <v>189</v>
      </c>
      <c r="B54" s="44" t="str">
        <f>'Pres cal'!B3</f>
        <v>Paine</v>
      </c>
      <c r="C54" s="18"/>
      <c r="D54" s="26"/>
    </row>
    <row r="55" spans="1:3" ht="12">
      <c r="A55" s="11" t="s">
        <v>24</v>
      </c>
      <c r="B55" s="44" t="str">
        <f>'Pres cal'!B4</f>
        <v>211-75-710-05</v>
      </c>
      <c r="C55" s="18"/>
    </row>
    <row r="56" spans="1:4" ht="12">
      <c r="A56" s="11" t="s">
        <v>25</v>
      </c>
      <c r="B56" s="44">
        <f>'Pres cal'!B5</f>
        <v>214721</v>
      </c>
      <c r="C56" s="18"/>
      <c r="D56" s="11"/>
    </row>
    <row r="57" spans="1:3" ht="12">
      <c r="A57" s="11" t="s">
        <v>26</v>
      </c>
      <c r="B57" s="44">
        <f>'Pres cal'!B6</f>
        <v>38423</v>
      </c>
      <c r="C57" s="18"/>
    </row>
    <row r="58" spans="1:4" ht="12">
      <c r="A58" s="11" t="s">
        <v>27</v>
      </c>
      <c r="B58" s="36">
        <f>'Pres cal'!B7</f>
        <v>128</v>
      </c>
      <c r="C58" s="45"/>
      <c r="D58" s="46" t="s">
        <v>28</v>
      </c>
    </row>
    <row r="59" spans="1:2" ht="12">
      <c r="A59" s="21" t="s">
        <v>29</v>
      </c>
      <c r="B59" s="44">
        <f>'Pres cal'!B8</f>
        <v>14.7</v>
      </c>
    </row>
    <row r="60" spans="1:3" ht="12">
      <c r="A60" s="11" t="s">
        <v>30</v>
      </c>
      <c r="B60" s="44">
        <f>'Pres cal'!B9</f>
        <v>0</v>
      </c>
      <c r="C60" s="47" t="s">
        <v>31</v>
      </c>
    </row>
    <row r="61" spans="1:3" ht="12">
      <c r="A61" s="11" t="s">
        <v>32</v>
      </c>
      <c r="B61" s="48">
        <f>'Pres cal'!H50</f>
        <v>0.00011632796504643685</v>
      </c>
      <c r="C61" s="49" t="s">
        <v>33</v>
      </c>
    </row>
    <row r="62" spans="1:4" ht="12">
      <c r="A62" s="21" t="s">
        <v>34</v>
      </c>
      <c r="B62" s="44">
        <f>'Pres cal'!H52</f>
        <v>-10.87280764695314</v>
      </c>
      <c r="C62" s="50" t="s">
        <v>35</v>
      </c>
      <c r="D62"/>
    </row>
    <row r="63" spans="1:4" ht="12">
      <c r="A63" s="21" t="s">
        <v>36</v>
      </c>
      <c r="B63" s="51">
        <f>B62*0.685</f>
        <v>-7.447873238162901</v>
      </c>
      <c r="C63" s="47" t="s">
        <v>37</v>
      </c>
      <c r="D63"/>
    </row>
    <row r="64" spans="2:4" ht="12">
      <c r="B64" s="52" t="s">
        <v>38</v>
      </c>
      <c r="C64" s="53" t="s">
        <v>39</v>
      </c>
      <c r="D64"/>
    </row>
    <row r="65" spans="1:4" ht="16.5">
      <c r="A65" s="14" t="s">
        <v>40</v>
      </c>
      <c r="B65" s="54"/>
      <c r="C65" s="16" t="s">
        <v>135</v>
      </c>
      <c r="D65" s="17">
        <v>39786</v>
      </c>
    </row>
    <row r="66" spans="1:4" ht="12">
      <c r="A66" s="60" t="s">
        <v>59</v>
      </c>
      <c r="B66" s="33" t="s">
        <v>57</v>
      </c>
      <c r="C66" s="549" t="s">
        <v>60</v>
      </c>
      <c r="D66" s="548" t="s">
        <v>58</v>
      </c>
    </row>
    <row r="67" ht="12">
      <c r="D67" s="55"/>
    </row>
    <row r="68" spans="1:4" ht="16.5">
      <c r="A68" s="14" t="s">
        <v>41</v>
      </c>
      <c r="B68" s="15"/>
      <c r="C68" s="16" t="s">
        <v>135</v>
      </c>
      <c r="D68" s="17">
        <v>39790</v>
      </c>
    </row>
    <row r="69" spans="1:2" ht="12">
      <c r="A69" s="11" t="s">
        <v>42</v>
      </c>
      <c r="B69" s="35" t="s">
        <v>43</v>
      </c>
    </row>
    <row r="70" spans="1:2" ht="12">
      <c r="A70" s="11" t="s">
        <v>44</v>
      </c>
      <c r="B70" s="35" t="s">
        <v>45</v>
      </c>
    </row>
    <row r="71" spans="1:2" ht="12">
      <c r="A71" s="11" t="s">
        <v>46</v>
      </c>
      <c r="B71" s="35" t="s">
        <v>47</v>
      </c>
    </row>
    <row r="72" spans="1:2" ht="12">
      <c r="A72" s="11" t="s">
        <v>48</v>
      </c>
      <c r="B72" s="35">
        <v>7.4</v>
      </c>
    </row>
    <row r="73" spans="1:2" ht="12">
      <c r="A73" s="11" t="s">
        <v>49</v>
      </c>
      <c r="B73" s="35" t="s">
        <v>221</v>
      </c>
    </row>
    <row r="74" spans="1:4" ht="12">
      <c r="A74" s="56" t="s">
        <v>222</v>
      </c>
      <c r="B74" s="57">
        <v>39786</v>
      </c>
      <c r="C74" s="58"/>
      <c r="D74" s="59"/>
    </row>
    <row r="75" spans="1:4" ht="12">
      <c r="A75" s="56" t="s">
        <v>223</v>
      </c>
      <c r="B75" s="57">
        <v>39789</v>
      </c>
      <c r="C75" s="58"/>
      <c r="D75" s="59"/>
    </row>
    <row r="76" spans="1:4" s="58" customFormat="1" ht="12">
      <c r="A76" s="11"/>
      <c r="B76" s="1"/>
      <c r="C76"/>
      <c r="D76" s="1"/>
    </row>
    <row r="77" spans="1:4" ht="16.5">
      <c r="A77" s="14" t="s">
        <v>224</v>
      </c>
      <c r="B77" s="15"/>
      <c r="C77" s="16" t="s">
        <v>135</v>
      </c>
      <c r="D77" s="17">
        <v>39787</v>
      </c>
    </row>
    <row r="78" spans="3:5" ht="12">
      <c r="C78" s="11" t="s">
        <v>136</v>
      </c>
      <c r="E78" s="18"/>
    </row>
    <row r="79" spans="1:3" ht="12">
      <c r="A79" s="60" t="s">
        <v>24</v>
      </c>
      <c r="B79" s="35">
        <v>52290</v>
      </c>
      <c r="C79" s="1" t="s">
        <v>225</v>
      </c>
    </row>
    <row r="80" spans="1:2" ht="12">
      <c r="A80" s="11" t="s">
        <v>226</v>
      </c>
      <c r="B80" s="35" t="s">
        <v>227</v>
      </c>
    </row>
    <row r="81" spans="1:2" ht="12">
      <c r="A81" s="11" t="s">
        <v>228</v>
      </c>
      <c r="B81" s="34" t="s">
        <v>229</v>
      </c>
    </row>
    <row r="82" spans="1:3" ht="12">
      <c r="A82" s="11" t="s">
        <v>230</v>
      </c>
      <c r="B82" s="35" t="s">
        <v>231</v>
      </c>
      <c r="C82" t="s">
        <v>232</v>
      </c>
    </row>
    <row r="83" spans="1:3" ht="12">
      <c r="A83" s="11" t="s">
        <v>233</v>
      </c>
      <c r="B83" s="61">
        <v>1237116</v>
      </c>
      <c r="C83" t="s">
        <v>53</v>
      </c>
    </row>
    <row r="84" spans="1:3" ht="12">
      <c r="A84" s="11" t="s">
        <v>234</v>
      </c>
      <c r="B84" s="35" t="s">
        <v>235</v>
      </c>
      <c r="C84" t="s">
        <v>236</v>
      </c>
    </row>
    <row r="85" spans="1:4" ht="12">
      <c r="A85" s="56" t="s">
        <v>46</v>
      </c>
      <c r="B85" s="62" t="s">
        <v>237</v>
      </c>
      <c r="C85" s="58"/>
      <c r="D85" s="59"/>
    </row>
    <row r="86" spans="1:4" s="58" customFormat="1" ht="12">
      <c r="A86" s="11" t="s">
        <v>238</v>
      </c>
      <c r="B86" s="35" t="s">
        <v>239</v>
      </c>
      <c r="C86"/>
      <c r="D86" s="1"/>
    </row>
    <row r="87" spans="1:2" ht="12">
      <c r="A87" s="11" t="s">
        <v>240</v>
      </c>
      <c r="B87" s="35" t="s">
        <v>241</v>
      </c>
    </row>
    <row r="88" spans="1:2" ht="12">
      <c r="A88" s="11" t="s">
        <v>242</v>
      </c>
      <c r="B88" s="35" t="s">
        <v>243</v>
      </c>
    </row>
    <row r="89" spans="1:4" ht="12">
      <c r="A89" s="56"/>
      <c r="B89" s="63">
        <v>20784</v>
      </c>
      <c r="C89" s="58"/>
      <c r="D89" s="59"/>
    </row>
    <row r="90" spans="1:4" s="58" customFormat="1" ht="12">
      <c r="A90" s="11" t="s">
        <v>244</v>
      </c>
      <c r="B90" s="61" t="s">
        <v>245</v>
      </c>
      <c r="C90" t="s">
        <v>246</v>
      </c>
      <c r="D90" s="1"/>
    </row>
    <row r="91" ht="12">
      <c r="B91" s="64"/>
    </row>
    <row r="92" spans="1:4" ht="16.5">
      <c r="A92" s="14" t="s">
        <v>247</v>
      </c>
      <c r="B92" s="15"/>
      <c r="C92" s="16" t="s">
        <v>135</v>
      </c>
      <c r="D92" s="17">
        <v>39300</v>
      </c>
    </row>
    <row r="93" spans="2:5" ht="12">
      <c r="B93" s="47"/>
      <c r="C93" s="11" t="s">
        <v>136</v>
      </c>
      <c r="E93" s="18"/>
    </row>
    <row r="94" spans="1:3" ht="12">
      <c r="A94" s="65" t="s">
        <v>248</v>
      </c>
      <c r="B94" s="35" t="s">
        <v>249</v>
      </c>
      <c r="C94" s="20"/>
    </row>
    <row r="95" spans="1:3" ht="12">
      <c r="A95" s="65"/>
      <c r="B95" s="20"/>
      <c r="C95" s="20"/>
    </row>
    <row r="96" spans="1:3" ht="12.75">
      <c r="A96" s="11" t="s">
        <v>250</v>
      </c>
      <c r="B96" s="33" t="s">
        <v>251</v>
      </c>
      <c r="C96" s="66"/>
    </row>
    <row r="97" spans="1:3" ht="12.75">
      <c r="A97" s="11" t="s">
        <v>252</v>
      </c>
      <c r="B97" s="33" t="s">
        <v>253</v>
      </c>
      <c r="C97" s="66"/>
    </row>
    <row r="98" spans="1:3" ht="12.75">
      <c r="A98" s="11" t="s">
        <v>254</v>
      </c>
      <c r="B98" s="33">
        <v>69784881</v>
      </c>
      <c r="C98" s="66"/>
    </row>
    <row r="99" spans="1:3" ht="12.75">
      <c r="A99" s="11"/>
      <c r="B99" s="33"/>
      <c r="C99" s="66"/>
    </row>
    <row r="100" spans="1:3" ht="12">
      <c r="A100" s="11" t="s">
        <v>255</v>
      </c>
      <c r="B100" s="67" t="s">
        <v>256</v>
      </c>
      <c r="C100" s="47" t="s">
        <v>257</v>
      </c>
    </row>
    <row r="101" spans="1:3" ht="12.75">
      <c r="A101" s="11" t="s">
        <v>258</v>
      </c>
      <c r="B101" s="35" t="s">
        <v>259</v>
      </c>
      <c r="C101" s="66"/>
    </row>
    <row r="102" spans="1:3" ht="12.75">
      <c r="A102" s="11"/>
      <c r="B102" s="33"/>
      <c r="C102" s="66"/>
    </row>
    <row r="103" spans="1:3" ht="12.75">
      <c r="A103" s="11" t="s">
        <v>260</v>
      </c>
      <c r="B103" s="35" t="s">
        <v>261</v>
      </c>
      <c r="C103" s="66"/>
    </row>
    <row r="104" spans="1:3" ht="12.75">
      <c r="A104" s="11" t="s">
        <v>262</v>
      </c>
      <c r="B104" s="35">
        <v>3013</v>
      </c>
      <c r="C104" s="66"/>
    </row>
    <row r="105" spans="1:3" ht="12.75">
      <c r="A105" s="11" t="s">
        <v>263</v>
      </c>
      <c r="B105" s="35">
        <v>4009</v>
      </c>
      <c r="C105" s="66"/>
    </row>
    <row r="106" ht="12">
      <c r="C106" s="20"/>
    </row>
    <row r="107" spans="1:4" ht="16.5">
      <c r="A107" s="14" t="s">
        <v>264</v>
      </c>
      <c r="B107" s="15"/>
      <c r="C107" s="16" t="s">
        <v>135</v>
      </c>
      <c r="D107" s="17">
        <v>39787</v>
      </c>
    </row>
    <row r="108" spans="3:5" ht="12">
      <c r="C108" s="11" t="s">
        <v>136</v>
      </c>
      <c r="E108" s="18"/>
    </row>
    <row r="109" spans="1:2" ht="12">
      <c r="A109" s="11" t="s">
        <v>189</v>
      </c>
      <c r="B109" s="35" t="s">
        <v>265</v>
      </c>
    </row>
    <row r="110" spans="1:2" ht="12">
      <c r="A110" s="11" t="s">
        <v>266</v>
      </c>
      <c r="B110" s="35">
        <v>955</v>
      </c>
    </row>
    <row r="111" spans="1:4" ht="12">
      <c r="A111" s="11" t="s">
        <v>267</v>
      </c>
      <c r="B111" s="34" t="s">
        <v>268</v>
      </c>
      <c r="D111" s="11"/>
    </row>
    <row r="112" spans="1:4" ht="12">
      <c r="A112" s="11" t="s">
        <v>269</v>
      </c>
      <c r="B112" s="34" t="s">
        <v>270</v>
      </c>
      <c r="D112" s="11"/>
    </row>
    <row r="113" spans="1:4" ht="12">
      <c r="A113" s="11" t="s">
        <v>271</v>
      </c>
      <c r="B113" s="35" t="s">
        <v>52</v>
      </c>
      <c r="D113" s="11"/>
    </row>
    <row r="114" spans="1:4" ht="12">
      <c r="A114" s="11"/>
      <c r="B114" s="35"/>
      <c r="D114" s="11"/>
    </row>
    <row r="115" spans="1:4" ht="12">
      <c r="A115" s="11" t="s">
        <v>272</v>
      </c>
      <c r="B115" s="68">
        <v>12.5</v>
      </c>
      <c r="C115" t="s">
        <v>273</v>
      </c>
      <c r="D115" s="13"/>
    </row>
    <row r="116" spans="1:3" ht="12">
      <c r="A116" s="11" t="s">
        <v>274</v>
      </c>
      <c r="B116" s="68">
        <v>13.5</v>
      </c>
      <c r="C116" t="s">
        <v>273</v>
      </c>
    </row>
    <row r="117" spans="1:3" ht="12">
      <c r="A117" s="11" t="s">
        <v>275</v>
      </c>
      <c r="B117" s="34" t="s">
        <v>276</v>
      </c>
      <c r="C117" t="s">
        <v>277</v>
      </c>
    </row>
    <row r="118" ht="12">
      <c r="D118" s="69"/>
    </row>
    <row r="119" spans="1:4" ht="16.5">
      <c r="A119" s="14" t="s">
        <v>278</v>
      </c>
      <c r="B119" s="15"/>
      <c r="C119" s="16" t="s">
        <v>135</v>
      </c>
      <c r="D119" s="17">
        <v>39300</v>
      </c>
    </row>
    <row r="120" spans="2:5" ht="12">
      <c r="B120" s="13"/>
      <c r="D120" t="s">
        <v>136</v>
      </c>
      <c r="E120" s="18"/>
    </row>
    <row r="121" spans="1:2" ht="12">
      <c r="A121" s="11" t="s">
        <v>266</v>
      </c>
      <c r="B121" s="35" t="s">
        <v>279</v>
      </c>
    </row>
    <row r="122" spans="1:4" ht="12">
      <c r="A122" s="56" t="s">
        <v>280</v>
      </c>
      <c r="B122" s="67" t="s">
        <v>281</v>
      </c>
      <c r="C122" s="58"/>
      <c r="D122" s="59"/>
    </row>
    <row r="123" spans="1:4" s="58" customFormat="1" ht="12">
      <c r="A123" s="56" t="s">
        <v>282</v>
      </c>
      <c r="B123" s="67" t="s">
        <v>283</v>
      </c>
      <c r="D123" s="59"/>
    </row>
    <row r="124" spans="1:4" s="58" customFormat="1" ht="12">
      <c r="A124" s="56" t="s">
        <v>284</v>
      </c>
      <c r="B124" s="67" t="s">
        <v>285</v>
      </c>
      <c r="C124"/>
      <c r="D124" s="1"/>
    </row>
    <row r="126" spans="1:4" ht="16.5">
      <c r="A126" s="14" t="s">
        <v>286</v>
      </c>
      <c r="B126" s="15"/>
      <c r="C126" s="16" t="s">
        <v>135</v>
      </c>
      <c r="D126" s="17">
        <v>39786</v>
      </c>
    </row>
    <row r="127" spans="2:5" ht="12">
      <c r="B127" s="47"/>
      <c r="C127" s="20"/>
      <c r="D127" t="s">
        <v>136</v>
      </c>
      <c r="E127" s="18"/>
    </row>
    <row r="128" spans="1:3" ht="12">
      <c r="A128" s="11" t="s">
        <v>26</v>
      </c>
      <c r="B128" s="70">
        <v>39768</v>
      </c>
      <c r="C128" s="20"/>
    </row>
    <row r="129" spans="1:3" ht="12">
      <c r="A129" s="11" t="s">
        <v>287</v>
      </c>
      <c r="B129" s="71">
        <v>66</v>
      </c>
      <c r="C129" s="20"/>
    </row>
    <row r="130" spans="1:3" ht="12">
      <c r="A130" s="11" t="s">
        <v>94</v>
      </c>
      <c r="B130" s="71">
        <v>66</v>
      </c>
      <c r="C130" s="20"/>
    </row>
    <row r="131" spans="1:3" ht="12">
      <c r="A131" s="11"/>
      <c r="B131" s="33"/>
      <c r="C131" s="20"/>
    </row>
    <row r="132" spans="1:4" ht="12">
      <c r="A132" s="592" t="s">
        <v>95</v>
      </c>
      <c r="B132" s="592"/>
      <c r="C132" s="593" t="s">
        <v>96</v>
      </c>
      <c r="D132" s="593"/>
    </row>
    <row r="133" spans="1:4" ht="12">
      <c r="A133" s="73" t="s">
        <v>97</v>
      </c>
      <c r="B133" s="74">
        <v>-9.8723101</v>
      </c>
      <c r="C133" s="73" t="s">
        <v>97</v>
      </c>
      <c r="D133" s="74">
        <v>0.00434016799</v>
      </c>
    </row>
    <row r="134" spans="1:4" ht="12">
      <c r="A134" s="73" t="s">
        <v>98</v>
      </c>
      <c r="B134" s="74">
        <v>1.09325453</v>
      </c>
      <c r="C134" s="73" t="s">
        <v>98</v>
      </c>
      <c r="D134" s="74">
        <v>0.000630434685</v>
      </c>
    </row>
    <row r="135" spans="1:4" ht="12">
      <c r="A135" s="73" t="s">
        <v>99</v>
      </c>
      <c r="B135" s="74">
        <v>-0.00123598151</v>
      </c>
      <c r="C135" s="73" t="s">
        <v>99</v>
      </c>
      <c r="D135" s="74">
        <v>2.40213133E-05</v>
      </c>
    </row>
    <row r="136" spans="1:4" ht="12">
      <c r="A136" s="73" t="s">
        <v>100</v>
      </c>
      <c r="B136" s="74">
        <v>0.000177171932</v>
      </c>
      <c r="C136" s="73" t="s">
        <v>100</v>
      </c>
      <c r="D136" s="74">
        <v>2.53582002E-06</v>
      </c>
    </row>
    <row r="137" spans="1:4" ht="12">
      <c r="A137" s="75" t="s">
        <v>101</v>
      </c>
      <c r="B137" s="76">
        <v>-9.57E-08</v>
      </c>
      <c r="C137" s="75" t="s">
        <v>102</v>
      </c>
      <c r="D137" s="77">
        <v>1000</v>
      </c>
    </row>
    <row r="138" spans="1:4" ht="12">
      <c r="A138" s="75" t="s">
        <v>103</v>
      </c>
      <c r="B138" s="74">
        <v>3.25E-06</v>
      </c>
      <c r="C138" s="75"/>
      <c r="D138" s="78"/>
    </row>
    <row r="140" spans="1:4" ht="16.5">
      <c r="A140" s="14" t="s">
        <v>104</v>
      </c>
      <c r="B140" s="15"/>
      <c r="C140" s="16" t="s">
        <v>135</v>
      </c>
      <c r="D140" s="17">
        <v>39299</v>
      </c>
    </row>
    <row r="141" spans="2:9" ht="12">
      <c r="B141" s="47"/>
      <c r="C141" s="20"/>
      <c r="D141" s="79"/>
      <c r="E141" s="18"/>
      <c r="I141" t="s">
        <v>105</v>
      </c>
    </row>
    <row r="142" spans="1:4" ht="12">
      <c r="A142" s="21" t="s">
        <v>189</v>
      </c>
      <c r="B142" s="33" t="s">
        <v>106</v>
      </c>
      <c r="C142" s="20" t="s">
        <v>26</v>
      </c>
      <c r="D142" s="603">
        <v>39600</v>
      </c>
    </row>
    <row r="143" spans="1:4" ht="12">
      <c r="A143" s="11" t="s">
        <v>266</v>
      </c>
      <c r="B143" s="33" t="s">
        <v>54</v>
      </c>
      <c r="C143" s="80"/>
      <c r="D143" s="59"/>
    </row>
    <row r="144" spans="1:4" s="58" customFormat="1" ht="12">
      <c r="A144" s="11" t="s">
        <v>46</v>
      </c>
      <c r="B144" s="80">
        <v>380</v>
      </c>
      <c r="C144" s="80"/>
      <c r="D144" s="59"/>
    </row>
    <row r="145" spans="1:4" s="58" customFormat="1" ht="12">
      <c r="A145"/>
      <c r="B145" s="20"/>
      <c r="C145" s="20"/>
      <c r="D145" s="1"/>
    </row>
    <row r="146" spans="1:4" ht="16.5">
      <c r="A146" s="14" t="s">
        <v>107</v>
      </c>
      <c r="B146" s="15"/>
      <c r="C146" s="16" t="s">
        <v>135</v>
      </c>
      <c r="D146" s="17">
        <v>39995</v>
      </c>
    </row>
    <row r="147" spans="2:5" ht="12">
      <c r="B147" s="47"/>
      <c r="C147" s="20" t="s">
        <v>26</v>
      </c>
      <c r="D147" s="70">
        <v>39819</v>
      </c>
      <c r="E147" s="18"/>
    </row>
    <row r="148" spans="1:3" ht="12">
      <c r="A148" s="21" t="s">
        <v>189</v>
      </c>
      <c r="B148" s="33" t="s">
        <v>108</v>
      </c>
      <c r="C148" s="72" t="s">
        <v>109</v>
      </c>
    </row>
    <row r="149" spans="1:4" ht="12">
      <c r="A149" s="11" t="s">
        <v>266</v>
      </c>
      <c r="B149" s="33" t="s">
        <v>110</v>
      </c>
      <c r="C149" s="81" t="s">
        <v>111</v>
      </c>
      <c r="D149" s="82">
        <v>0.00023</v>
      </c>
    </row>
    <row r="150" spans="1:4" ht="12">
      <c r="A150" s="11" t="s">
        <v>46</v>
      </c>
      <c r="B150" s="80" t="s">
        <v>19</v>
      </c>
      <c r="C150" s="81" t="s">
        <v>112</v>
      </c>
      <c r="D150" s="82">
        <v>-836</v>
      </c>
    </row>
    <row r="151" spans="1:4" ht="12">
      <c r="A151" s="56"/>
      <c r="C151" s="81" t="s">
        <v>113</v>
      </c>
      <c r="D151" s="82" t="s">
        <v>297</v>
      </c>
    </row>
    <row r="152" spans="3:4" s="58" customFormat="1" ht="12">
      <c r="C152" s="81" t="s">
        <v>114</v>
      </c>
      <c r="D152" s="82" t="s">
        <v>297</v>
      </c>
    </row>
    <row r="153" spans="3:4" ht="12">
      <c r="C153" s="81" t="s">
        <v>115</v>
      </c>
      <c r="D153" s="82" t="s">
        <v>297</v>
      </c>
    </row>
    <row r="154" spans="3:4" ht="12">
      <c r="C154" s="81" t="s">
        <v>116</v>
      </c>
      <c r="D154" s="82">
        <v>-0.00025244</v>
      </c>
    </row>
    <row r="155" spans="3:4" ht="12">
      <c r="C155" s="81" t="s">
        <v>117</v>
      </c>
      <c r="D155" s="82">
        <v>3.5548E-05</v>
      </c>
    </row>
    <row r="156" spans="3:4" ht="12">
      <c r="C156" s="81" t="s">
        <v>118</v>
      </c>
      <c r="D156" s="82">
        <v>-8.9129E-07</v>
      </c>
    </row>
    <row r="157" spans="3:4" ht="12">
      <c r="C157" s="547" t="s">
        <v>55</v>
      </c>
      <c r="D157" s="82">
        <v>0.036</v>
      </c>
    </row>
    <row r="158" spans="3:4" ht="12">
      <c r="C158" s="547" t="s">
        <v>56</v>
      </c>
      <c r="D158" s="35">
        <v>3.61</v>
      </c>
    </row>
    <row r="162" ht="12">
      <c r="A162" s="60"/>
    </row>
    <row r="164" ht="12">
      <c r="B164" s="35"/>
    </row>
    <row r="165" ht="12">
      <c r="B165" s="35"/>
    </row>
    <row r="166" ht="12">
      <c r="B166" s="35"/>
    </row>
    <row r="170" ht="12">
      <c r="B170" s="35"/>
    </row>
  </sheetData>
  <sheetProtection/>
  <mergeCells count="2">
    <mergeCell ref="A132:B132"/>
    <mergeCell ref="C132:D132"/>
  </mergeCells>
  <printOptions/>
  <pageMargins left="1" right="0.747916666666667" top="0.984027777777778" bottom="0.984027777777778" header="0.511805555555556" footer="0.5"/>
  <pageSetup fitToHeight="0" fitToWidth="1" horizontalDpi="300" verticalDpi="300" orientation="portrait" scale="90"/>
  <headerFooter alignWithMargins="0">
    <oddFooter>&amp;C&amp;F&amp;RPage &amp;P of &amp;N</oddFooter>
  </headerFooter>
  <rowBreaks count="2" manualBreakCount="2">
    <brk id="50" max="255" man="1"/>
    <brk id="105" max="4" man="1"/>
  </rowBreaks>
</worksheet>
</file>

<file path=xl/worksheets/sheet10.xml><?xml version="1.0" encoding="utf-8"?>
<worksheet xmlns="http://schemas.openxmlformats.org/spreadsheetml/2006/main" xmlns:r="http://schemas.openxmlformats.org/officeDocument/2006/relationships">
  <sheetPr>
    <pageSetUpPr fitToPage="1"/>
  </sheetPr>
  <dimension ref="A1:E54"/>
  <sheetViews>
    <sheetView zoomScalePageLayoutView="0" workbookViewId="0" topLeftCell="A1">
      <selection activeCell="C6" sqref="C6"/>
    </sheetView>
  </sheetViews>
  <sheetFormatPr defaultColWidth="11.421875" defaultRowHeight="12.75"/>
  <cols>
    <col min="1" max="1" width="17.28125" style="0" customWidth="1"/>
    <col min="2" max="2" width="2.140625" style="0" customWidth="1"/>
    <col min="3" max="3" width="19.7109375" style="0" customWidth="1"/>
    <col min="4" max="4" width="1.421875" style="0" customWidth="1"/>
    <col min="5" max="7" width="8.8515625" style="0" customWidth="1"/>
    <col min="8" max="8" width="10.28125" style="0" customWidth="1"/>
    <col min="9" max="16384" width="8.8515625" style="0" customWidth="1"/>
  </cols>
  <sheetData>
    <row r="1" ht="12">
      <c r="A1" t="s">
        <v>894</v>
      </c>
    </row>
    <row r="2" ht="12">
      <c r="A2" t="s">
        <v>895</v>
      </c>
    </row>
    <row r="4" ht="12">
      <c r="A4" t="s">
        <v>896</v>
      </c>
    </row>
    <row r="5" spans="1:4" ht="12">
      <c r="A5" t="s">
        <v>897</v>
      </c>
      <c r="B5" t="s">
        <v>898</v>
      </c>
      <c r="C5" s="538">
        <f>Cal!D1</f>
        <v>139</v>
      </c>
      <c r="D5" t="s">
        <v>899</v>
      </c>
    </row>
    <row r="6" spans="1:5" ht="12">
      <c r="A6" t="s">
        <v>900</v>
      </c>
      <c r="B6" t="s">
        <v>898</v>
      </c>
      <c r="C6" s="538">
        <f>Total_Weight_In_Air</f>
        <v>52315.79999999998</v>
      </c>
      <c r="D6" t="s">
        <v>899</v>
      </c>
      <c r="E6" t="s">
        <v>901</v>
      </c>
    </row>
    <row r="7" spans="1:5" ht="12">
      <c r="A7" t="s">
        <v>902</v>
      </c>
      <c r="B7" t="s">
        <v>898</v>
      </c>
      <c r="C7" s="37">
        <f>Ballast!D38</f>
        <v>51040.643767705384</v>
      </c>
      <c r="D7" t="s">
        <v>899</v>
      </c>
      <c r="E7" t="s">
        <v>903</v>
      </c>
    </row>
    <row r="8" spans="1:4" ht="12">
      <c r="A8" t="s">
        <v>904</v>
      </c>
      <c r="B8" t="s">
        <v>898</v>
      </c>
      <c r="C8" s="539" t="s">
        <v>905</v>
      </c>
      <c r="D8" t="s">
        <v>899</v>
      </c>
    </row>
    <row r="9" spans="1:5" ht="12">
      <c r="A9" t="s">
        <v>906</v>
      </c>
      <c r="B9" t="s">
        <v>898</v>
      </c>
      <c r="C9" s="465">
        <f>Ballast!B29*1000</f>
        <v>1027.5</v>
      </c>
      <c r="D9" t="s">
        <v>899</v>
      </c>
      <c r="E9" t="s">
        <v>907</v>
      </c>
    </row>
    <row r="10" ht="12">
      <c r="C10" s="473"/>
    </row>
    <row r="11" ht="12">
      <c r="A11" t="s">
        <v>908</v>
      </c>
    </row>
    <row r="12" spans="1:4" ht="12">
      <c r="A12" t="s">
        <v>909</v>
      </c>
      <c r="B12" t="s">
        <v>898</v>
      </c>
      <c r="C12" s="37">
        <f>Cal!C11</f>
        <v>435</v>
      </c>
      <c r="D12" t="s">
        <v>899</v>
      </c>
    </row>
    <row r="13" spans="1:4" ht="12">
      <c r="A13" t="s">
        <v>910</v>
      </c>
      <c r="B13" t="s">
        <v>898</v>
      </c>
      <c r="C13" s="37">
        <f>Cal!C12</f>
        <v>3724</v>
      </c>
      <c r="D13" t="s">
        <v>899</v>
      </c>
    </row>
    <row r="14" spans="1:4" ht="12">
      <c r="A14" t="s">
        <v>911</v>
      </c>
      <c r="B14" t="s">
        <v>898</v>
      </c>
      <c r="C14" s="37">
        <f>Cal!C26</f>
        <v>227</v>
      </c>
      <c r="D14" t="s">
        <v>899</v>
      </c>
    </row>
    <row r="15" spans="1:4" ht="12">
      <c r="A15" t="s">
        <v>912</v>
      </c>
      <c r="B15" t="s">
        <v>898</v>
      </c>
      <c r="C15" s="37">
        <f>Cal!C27</f>
        <v>3931</v>
      </c>
      <c r="D15" t="s">
        <v>899</v>
      </c>
    </row>
    <row r="16" spans="1:4" ht="12">
      <c r="A16" t="s">
        <v>913</v>
      </c>
      <c r="B16" t="s">
        <v>898</v>
      </c>
      <c r="C16" s="37">
        <f>Cal!C41</f>
        <v>450</v>
      </c>
      <c r="D16" t="s">
        <v>899</v>
      </c>
    </row>
    <row r="17" spans="1:4" ht="12">
      <c r="A17" t="s">
        <v>914</v>
      </c>
      <c r="B17" t="s">
        <v>898</v>
      </c>
      <c r="C17" s="37">
        <f>Cal!C42</f>
        <v>3860</v>
      </c>
      <c r="D17" t="s">
        <v>899</v>
      </c>
    </row>
    <row r="18" spans="1:4" ht="12">
      <c r="A18" t="s">
        <v>915</v>
      </c>
      <c r="B18" t="s">
        <v>898</v>
      </c>
      <c r="C18">
        <v>-4.0767</v>
      </c>
      <c r="D18" t="s">
        <v>899</v>
      </c>
    </row>
    <row r="19" ht="12">
      <c r="C19" s="473"/>
    </row>
    <row r="20" spans="1:3" ht="12">
      <c r="A20" t="s">
        <v>916</v>
      </c>
      <c r="C20" s="473"/>
    </row>
    <row r="21" spans="1:5" ht="12">
      <c r="A21" t="s">
        <v>917</v>
      </c>
      <c r="B21" t="s">
        <v>898</v>
      </c>
      <c r="C21" s="473" t="s">
        <v>918</v>
      </c>
      <c r="D21" t="s">
        <v>899</v>
      </c>
      <c r="E21" t="s">
        <v>919</v>
      </c>
    </row>
    <row r="22" spans="1:4" ht="12">
      <c r="A22" t="s">
        <v>920</v>
      </c>
      <c r="B22" t="s">
        <v>898</v>
      </c>
      <c r="C22" s="521">
        <f>Cal!D133</f>
        <v>0.00434016799</v>
      </c>
      <c r="D22" t="s">
        <v>899</v>
      </c>
    </row>
    <row r="23" spans="1:4" ht="12">
      <c r="A23" t="s">
        <v>921</v>
      </c>
      <c r="B23" t="s">
        <v>898</v>
      </c>
      <c r="C23" s="521">
        <f>Cal!D134</f>
        <v>0.000630434685</v>
      </c>
      <c r="D23" t="s">
        <v>899</v>
      </c>
    </row>
    <row r="24" spans="1:4" ht="12">
      <c r="A24" t="s">
        <v>922</v>
      </c>
      <c r="B24" t="s">
        <v>898</v>
      </c>
      <c r="C24" s="521">
        <f>Cal!D135</f>
        <v>2.40213133E-05</v>
      </c>
      <c r="D24" t="s">
        <v>899</v>
      </c>
    </row>
    <row r="25" spans="1:4" ht="12">
      <c r="A25" t="s">
        <v>923</v>
      </c>
      <c r="B25" t="s">
        <v>898</v>
      </c>
      <c r="C25" s="521">
        <f>Cal!D136</f>
        <v>2.53582002E-06</v>
      </c>
      <c r="D25" t="s">
        <v>899</v>
      </c>
    </row>
    <row r="26" spans="1:4" ht="12">
      <c r="A26" t="s">
        <v>924</v>
      </c>
      <c r="B26" t="s">
        <v>898</v>
      </c>
      <c r="C26" s="521">
        <f>Cal!B133</f>
        <v>-9.8723101</v>
      </c>
      <c r="D26" t="s">
        <v>899</v>
      </c>
    </row>
    <row r="27" spans="1:4" ht="12">
      <c r="A27" t="s">
        <v>925</v>
      </c>
      <c r="B27" t="s">
        <v>898</v>
      </c>
      <c r="C27" s="521">
        <f>Cal!B134</f>
        <v>1.09325453</v>
      </c>
      <c r="D27" t="s">
        <v>899</v>
      </c>
    </row>
    <row r="28" spans="1:4" ht="12">
      <c r="A28" t="s">
        <v>926</v>
      </c>
      <c r="B28" t="s">
        <v>898</v>
      </c>
      <c r="C28" s="521">
        <f>Cal!B135</f>
        <v>-0.00123598151</v>
      </c>
      <c r="D28" t="s">
        <v>899</v>
      </c>
    </row>
    <row r="29" spans="1:4" ht="12">
      <c r="A29" t="s">
        <v>927</v>
      </c>
      <c r="B29" t="s">
        <v>898</v>
      </c>
      <c r="C29" s="521">
        <f>Cal!B136</f>
        <v>0.000177171932</v>
      </c>
      <c r="D29" t="s">
        <v>899</v>
      </c>
    </row>
    <row r="30" spans="1:4" ht="12">
      <c r="A30" t="s">
        <v>928</v>
      </c>
      <c r="B30" t="s">
        <v>898</v>
      </c>
      <c r="C30" s="521">
        <f>Cal!B137</f>
        <v>-9.57E-08</v>
      </c>
      <c r="D30" t="s">
        <v>899</v>
      </c>
    </row>
    <row r="31" spans="1:4" ht="12">
      <c r="A31" t="s">
        <v>929</v>
      </c>
      <c r="B31" t="s">
        <v>898</v>
      </c>
      <c r="C31" s="521">
        <f>Cal!B138</f>
        <v>3.25E-06</v>
      </c>
      <c r="D31" t="s">
        <v>899</v>
      </c>
    </row>
    <row r="32" spans="1:5" ht="12">
      <c r="A32" t="s">
        <v>930</v>
      </c>
      <c r="B32" t="s">
        <v>898</v>
      </c>
      <c r="C32" s="521">
        <v>2.98319</v>
      </c>
      <c r="D32" s="540" t="s">
        <v>899</v>
      </c>
      <c r="E32" t="s">
        <v>931</v>
      </c>
    </row>
    <row r="33" spans="1:5" ht="12">
      <c r="A33" t="s">
        <v>932</v>
      </c>
      <c r="B33" t="s">
        <v>898</v>
      </c>
      <c r="C33" s="521">
        <v>8</v>
      </c>
      <c r="D33" s="540" t="s">
        <v>899</v>
      </c>
      <c r="E33" t="s">
        <v>933</v>
      </c>
    </row>
    <row r="34" spans="1:5" ht="12">
      <c r="A34" t="s">
        <v>934</v>
      </c>
      <c r="B34" t="s">
        <v>898</v>
      </c>
      <c r="C34" s="521">
        <v>2.924212</v>
      </c>
      <c r="D34" s="540" t="s">
        <v>899</v>
      </c>
      <c r="E34" t="s">
        <v>935</v>
      </c>
    </row>
    <row r="35" spans="1:5" ht="12">
      <c r="A35" t="s">
        <v>936</v>
      </c>
      <c r="B35" t="s">
        <v>898</v>
      </c>
      <c r="C35" s="521">
        <v>5.555283</v>
      </c>
      <c r="D35" s="540" t="s">
        <v>899</v>
      </c>
      <c r="E35" t="s">
        <v>937</v>
      </c>
    </row>
    <row r="36" ht="12">
      <c r="C36" s="521"/>
    </row>
    <row r="37" ht="12">
      <c r="A37" t="s">
        <v>938</v>
      </c>
    </row>
    <row r="38" spans="1:5" ht="12">
      <c r="A38" t="s">
        <v>939</v>
      </c>
      <c r="B38" t="s">
        <v>898</v>
      </c>
      <c r="C38" s="539" t="s">
        <v>940</v>
      </c>
      <c r="D38" t="s">
        <v>899</v>
      </c>
      <c r="E38" t="s">
        <v>941</v>
      </c>
    </row>
    <row r="39" spans="1:5" ht="12">
      <c r="A39" t="s">
        <v>942</v>
      </c>
      <c r="B39" t="s">
        <v>898</v>
      </c>
      <c r="C39" s="539" t="s">
        <v>943</v>
      </c>
      <c r="D39" t="s">
        <v>899</v>
      </c>
      <c r="E39" t="s">
        <v>919</v>
      </c>
    </row>
    <row r="40" spans="1:4" ht="12">
      <c r="A40" t="s">
        <v>944</v>
      </c>
      <c r="B40" t="s">
        <v>898</v>
      </c>
      <c r="C40" s="541">
        <f>Cal!D149</f>
        <v>0.00023</v>
      </c>
      <c r="D40" t="s">
        <v>899</v>
      </c>
    </row>
    <row r="41" spans="1:4" ht="12">
      <c r="A41" t="s">
        <v>945</v>
      </c>
      <c r="B41" t="s">
        <v>898</v>
      </c>
      <c r="C41" s="541">
        <f>Cal!D150</f>
        <v>-836</v>
      </c>
      <c r="D41" t="s">
        <v>899</v>
      </c>
    </row>
    <row r="42" spans="1:4" ht="12">
      <c r="A42" t="s">
        <v>946</v>
      </c>
      <c r="B42" t="s">
        <v>898</v>
      </c>
      <c r="C42" s="541">
        <f>Cal!D154</f>
        <v>-0.00025244</v>
      </c>
      <c r="D42" t="s">
        <v>899</v>
      </c>
    </row>
    <row r="43" spans="1:4" ht="12">
      <c r="A43" t="s">
        <v>947</v>
      </c>
      <c r="B43" t="s">
        <v>898</v>
      </c>
      <c r="C43" s="541">
        <f>Cal!D155</f>
        <v>3.5548E-05</v>
      </c>
      <c r="D43" t="s">
        <v>899</v>
      </c>
    </row>
    <row r="44" spans="1:4" ht="12">
      <c r="A44" t="s">
        <v>948</v>
      </c>
      <c r="B44" t="s">
        <v>898</v>
      </c>
      <c r="C44" s="541">
        <f>Cal!D156</f>
        <v>-8.9129E-07</v>
      </c>
      <c r="D44" t="s">
        <v>899</v>
      </c>
    </row>
    <row r="45" spans="1:4" ht="12">
      <c r="A45" t="s">
        <v>949</v>
      </c>
      <c r="B45" t="s">
        <v>898</v>
      </c>
      <c r="C45" s="541">
        <f>Cal!D157</f>
        <v>0.036</v>
      </c>
      <c r="D45" t="s">
        <v>899</v>
      </c>
    </row>
    <row r="47" ht="12">
      <c r="A47" t="s">
        <v>950</v>
      </c>
    </row>
    <row r="48" spans="1:5" ht="12">
      <c r="A48" t="s">
        <v>951</v>
      </c>
      <c r="B48" t="s">
        <v>898</v>
      </c>
      <c r="C48" s="473">
        <v>0.003836</v>
      </c>
      <c r="D48" t="s">
        <v>899</v>
      </c>
      <c r="E48" t="s">
        <v>952</v>
      </c>
    </row>
    <row r="49" spans="1:4" ht="12">
      <c r="A49" t="s">
        <v>953</v>
      </c>
      <c r="B49" t="s">
        <v>898</v>
      </c>
      <c r="C49" s="473">
        <v>0.010078</v>
      </c>
      <c r="D49" t="s">
        <v>899</v>
      </c>
    </row>
    <row r="50" spans="1:4" ht="12">
      <c r="A50" t="s">
        <v>954</v>
      </c>
      <c r="B50" t="s">
        <v>898</v>
      </c>
      <c r="C50" s="542">
        <v>9.8541E-06</v>
      </c>
      <c r="D50" t="s">
        <v>899</v>
      </c>
    </row>
    <row r="51" ht="12">
      <c r="A51" t="s">
        <v>955</v>
      </c>
    </row>
    <row r="53" ht="12">
      <c r="A53" t="s">
        <v>955</v>
      </c>
    </row>
    <row r="54" ht="12">
      <c r="A54" t="s">
        <v>955</v>
      </c>
    </row>
  </sheetData>
  <sheetProtection/>
  <printOptions/>
  <pageMargins left="0.7479166666666667" right="0.7479166666666667" top="0.9840277777777777" bottom="0.9840277777777777" header="0.5118055555555555" footer="0.5"/>
  <pageSetup fitToHeight="1" fitToWidth="1" horizontalDpi="300" verticalDpi="300" orientation="portrait" scale="96"/>
  <headerFooter alignWithMargins="0">
    <oddFooter>&amp;C&amp;F&amp;R&amp;P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405"/>
  <sheetViews>
    <sheetView zoomScale="75" zoomScaleNormal="75" zoomScalePageLayoutView="0" workbookViewId="0" topLeftCell="A4">
      <selection activeCell="C19" sqref="C19"/>
    </sheetView>
  </sheetViews>
  <sheetFormatPr defaultColWidth="11.421875" defaultRowHeight="12.75"/>
  <cols>
    <col min="1" max="1" width="9.140625" style="20" customWidth="1"/>
    <col min="2" max="2" width="71.7109375" style="18" customWidth="1"/>
    <col min="3" max="3" width="16.00390625" style="20" customWidth="1"/>
    <col min="4" max="4" width="6.8515625" style="20" customWidth="1"/>
    <col min="5" max="5" width="12.00390625" style="33" customWidth="1"/>
    <col min="6" max="6" width="11.8515625" style="20" customWidth="1"/>
    <col min="7" max="7" width="9.7109375" style="33" customWidth="1"/>
    <col min="8" max="8" width="9.7109375" style="20" customWidth="1"/>
    <col min="9" max="9" width="11.00390625" style="20" customWidth="1"/>
    <col min="10" max="10" width="9.7109375" style="33" customWidth="1"/>
    <col min="11" max="11" width="11.00390625" style="20" customWidth="1"/>
    <col min="12" max="12" width="9.7109375" style="33" customWidth="1"/>
    <col min="13" max="13" width="9.7109375" style="18" customWidth="1"/>
    <col min="14" max="14" width="10.8515625" style="20" customWidth="1"/>
    <col min="15" max="17" width="9.7109375" style="20" customWidth="1"/>
    <col min="18" max="18" width="9.28125" style="20" customWidth="1"/>
    <col min="19" max="21" width="8.8515625" style="18" customWidth="1"/>
    <col min="22" max="22" width="8.7109375" style="20" customWidth="1"/>
    <col min="23" max="16384" width="8.8515625" style="18" customWidth="1"/>
  </cols>
  <sheetData>
    <row r="1" spans="1:256" ht="23.25">
      <c r="A1" s="1"/>
      <c r="B1" s="83" t="s">
        <v>119</v>
      </c>
      <c r="C1" s="1"/>
      <c r="D1" s="6" t="s">
        <v>130</v>
      </c>
      <c r="E1" s="84">
        <f ca="1">NOW()</f>
        <v>39995.763402777775</v>
      </c>
      <c r="H1" s="1"/>
      <c r="I1" s="1"/>
      <c r="K1" s="1"/>
      <c r="L1" s="35"/>
      <c r="M1"/>
      <c r="N1" s="1"/>
      <c r="P1" s="1"/>
      <c r="Q1" s="1"/>
      <c r="R1" s="1"/>
      <c r="S1"/>
      <c r="T1"/>
      <c r="U1"/>
      <c r="V1" s="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2" s="88" customFormat="1" ht="23.25">
      <c r="A2" s="85"/>
      <c r="B2" s="86" t="s">
        <v>120</v>
      </c>
      <c r="C2" s="87">
        <f>Cal!D1</f>
        <v>139</v>
      </c>
      <c r="D2" s="6" t="s">
        <v>132</v>
      </c>
      <c r="E2" s="9">
        <f ca="1">NOW()</f>
        <v>39995.763402777775</v>
      </c>
      <c r="G2" s="89"/>
      <c r="I2" s="85"/>
      <c r="L2" s="90"/>
      <c r="M2" s="6" t="s">
        <v>121</v>
      </c>
      <c r="N2" s="85"/>
      <c r="O2" s="91"/>
      <c r="P2"/>
      <c r="Q2" s="85"/>
      <c r="R2" s="85"/>
      <c r="V2" s="85"/>
    </row>
    <row r="3" spans="1:22" s="93" customFormat="1" ht="15">
      <c r="A3" s="92"/>
      <c r="C3" s="94"/>
      <c r="D3" s="92"/>
      <c r="E3" s="95"/>
      <c r="F3" s="92"/>
      <c r="G3" s="95"/>
      <c r="H3" s="92"/>
      <c r="I3" s="92"/>
      <c r="J3" s="96"/>
      <c r="K3" s="92"/>
      <c r="L3" s="92"/>
      <c r="N3" s="92"/>
      <c r="O3" s="96"/>
      <c r="P3" s="92"/>
      <c r="Q3" s="92"/>
      <c r="R3" s="92"/>
      <c r="V3" s="92"/>
    </row>
    <row r="4" spans="1:18" s="8" customFormat="1" ht="15">
      <c r="A4" s="10"/>
      <c r="B4" s="6" t="s">
        <v>122</v>
      </c>
      <c r="C4" s="94"/>
      <c r="E4" s="94"/>
      <c r="F4" s="97"/>
      <c r="G4" s="94"/>
      <c r="I4" s="10"/>
      <c r="J4" s="98"/>
      <c r="K4" s="99"/>
      <c r="L4" s="100"/>
      <c r="M4" s="98"/>
      <c r="N4" s="99"/>
      <c r="O4" s="99"/>
      <c r="P4" s="99"/>
      <c r="Q4" s="97"/>
      <c r="R4" s="10"/>
    </row>
    <row r="5" spans="1:18" s="8" customFormat="1" ht="15">
      <c r="A5" s="10"/>
      <c r="C5" s="94"/>
      <c r="E5" s="94"/>
      <c r="F5" s="97"/>
      <c r="G5" s="94"/>
      <c r="I5" s="10"/>
      <c r="J5" s="98"/>
      <c r="K5" s="99"/>
      <c r="L5" s="100"/>
      <c r="M5" s="99"/>
      <c r="N5" s="587" t="s">
        <v>13</v>
      </c>
      <c r="O5" s="588">
        <f>C61</f>
        <v>11026</v>
      </c>
      <c r="P5" s="99"/>
      <c r="Q5" s="99"/>
      <c r="R5" s="10"/>
    </row>
    <row r="6" spans="1:18" s="8" customFormat="1" ht="15.75">
      <c r="A6" s="10"/>
      <c r="B6" s="101"/>
      <c r="E6" s="94"/>
      <c r="F6" s="97"/>
      <c r="G6" s="94"/>
      <c r="I6" s="10"/>
      <c r="J6" s="98"/>
      <c r="K6" s="99"/>
      <c r="L6" s="100"/>
      <c r="M6" s="99"/>
      <c r="N6" s="587" t="s">
        <v>14</v>
      </c>
      <c r="O6" s="588">
        <f>C80</f>
        <v>4644.4</v>
      </c>
      <c r="P6" s="99"/>
      <c r="Q6" s="99"/>
      <c r="R6" s="10"/>
    </row>
    <row r="7" spans="1:18" s="8" customFormat="1" ht="15.75">
      <c r="A7" s="10"/>
      <c r="B7" s="101"/>
      <c r="C7" s="102" t="s">
        <v>123</v>
      </c>
      <c r="E7" s="94"/>
      <c r="F7" s="97"/>
      <c r="G7" s="94"/>
      <c r="I7" s="10"/>
      <c r="J7" s="98"/>
      <c r="K7" s="99"/>
      <c r="L7" s="100"/>
      <c r="M7" s="109"/>
      <c r="N7" s="587" t="s">
        <v>15</v>
      </c>
      <c r="O7" s="588">
        <f>E56+E57</f>
        <v>39</v>
      </c>
      <c r="P7" s="111"/>
      <c r="Q7" s="117"/>
      <c r="R7" s="10"/>
    </row>
    <row r="8" spans="1:18" s="105" customFormat="1" ht="15">
      <c r="A8" s="103"/>
      <c r="B8" s="104" t="s">
        <v>124</v>
      </c>
      <c r="E8" s="106"/>
      <c r="F8" s="103"/>
      <c r="G8" s="107"/>
      <c r="I8" s="103"/>
      <c r="J8" s="108"/>
      <c r="K8" s="109"/>
      <c r="L8" s="110"/>
      <c r="M8" s="8"/>
      <c r="N8" s="587" t="s">
        <v>17</v>
      </c>
      <c r="O8" s="591">
        <f>C121</f>
        <v>36195</v>
      </c>
      <c r="P8" s="589"/>
      <c r="Q8" s="590"/>
      <c r="R8" s="103"/>
    </row>
    <row r="9" spans="1:18" s="8" customFormat="1" ht="15">
      <c r="A9" s="10"/>
      <c r="B9" s="6" t="s">
        <v>125</v>
      </c>
      <c r="C9" s="97">
        <f>Total_Weight</f>
        <v>52315.79999999998</v>
      </c>
      <c r="D9" s="112" t="s">
        <v>126</v>
      </c>
      <c r="E9" s="113"/>
      <c r="G9" s="94"/>
      <c r="J9" s="98"/>
      <c r="M9" s="118"/>
      <c r="N9" s="587" t="s">
        <v>16</v>
      </c>
      <c r="O9" s="588">
        <f>SUM(O4:O8)</f>
        <v>51904.4</v>
      </c>
      <c r="P9" s="99"/>
      <c r="Q9" s="98"/>
      <c r="R9" s="10"/>
    </row>
    <row r="10" spans="1:18" s="8" customFormat="1" ht="15">
      <c r="A10" s="10"/>
      <c r="B10" s="115" t="s">
        <v>127</v>
      </c>
      <c r="C10" s="116">
        <v>51904</v>
      </c>
      <c r="D10" s="112" t="s">
        <v>126</v>
      </c>
      <c r="E10" s="551" t="s">
        <v>18</v>
      </c>
      <c r="G10" s="94"/>
      <c r="H10" s="6"/>
      <c r="I10" s="117"/>
      <c r="K10" s="118"/>
      <c r="L10" s="99"/>
      <c r="N10" s="99"/>
      <c r="O10" s="114"/>
      <c r="P10" s="99"/>
      <c r="Q10" s="98"/>
      <c r="R10" s="10"/>
    </row>
    <row r="11" spans="1:18" s="8" customFormat="1" ht="15">
      <c r="A11" s="10"/>
      <c r="B11" s="119" t="s">
        <v>308</v>
      </c>
      <c r="C11" s="117">
        <f>C10-Total_Weight_In_Air</f>
        <v>-411.7999999999811</v>
      </c>
      <c r="D11" s="112" t="s">
        <v>126</v>
      </c>
      <c r="H11" s="115"/>
      <c r="I11" s="97"/>
      <c r="J11" s="112"/>
      <c r="L11" s="99"/>
      <c r="N11" s="99"/>
      <c r="O11" s="114"/>
      <c r="P11" s="99"/>
      <c r="Q11" s="98"/>
      <c r="R11" s="10"/>
    </row>
    <row r="12" spans="1:18" s="8" customFormat="1" ht="15">
      <c r="A12" s="10"/>
      <c r="B12" s="119" t="s">
        <v>309</v>
      </c>
      <c r="C12" s="120">
        <f>SUM(F65:F75,F89:F90)</f>
        <v>3475.2</v>
      </c>
      <c r="D12" s="112" t="s">
        <v>126</v>
      </c>
      <c r="E12" s="113"/>
      <c r="G12" s="94"/>
      <c r="H12" s="115"/>
      <c r="I12" s="97"/>
      <c r="J12" s="112"/>
      <c r="L12" s="99"/>
      <c r="M12" s="114"/>
      <c r="N12" s="99"/>
      <c r="O12" s="98"/>
      <c r="Q12" s="10"/>
      <c r="R12" s="10"/>
    </row>
    <row r="13" spans="1:18" s="8" customFormat="1" ht="15">
      <c r="A13" s="10"/>
      <c r="B13"/>
      <c r="C13"/>
      <c r="D13"/>
      <c r="E13" s="113"/>
      <c r="G13" s="94"/>
      <c r="H13" s="115"/>
      <c r="I13" s="97"/>
      <c r="J13" s="112"/>
      <c r="L13" s="99"/>
      <c r="M13" s="114"/>
      <c r="N13" s="99"/>
      <c r="O13" s="98"/>
      <c r="Q13" s="10"/>
      <c r="R13" s="10"/>
    </row>
    <row r="14" spans="1:22" s="8" customFormat="1" ht="15">
      <c r="A14" s="10"/>
      <c r="F14" s="10"/>
      <c r="H14" s="121"/>
      <c r="I14" s="118"/>
      <c r="K14" s="98"/>
      <c r="L14" s="122"/>
      <c r="M14" s="117"/>
      <c r="N14" s="99"/>
      <c r="O14" s="117"/>
      <c r="P14" s="117"/>
      <c r="Q14" s="10"/>
      <c r="R14" s="10"/>
      <c r="V14" s="10"/>
    </row>
    <row r="15" spans="1:22" s="8" customFormat="1" ht="15.75">
      <c r="A15" s="10"/>
      <c r="B15" s="6" t="s">
        <v>310</v>
      </c>
      <c r="C15" s="97">
        <f>Ballast!B14</f>
        <v>50276.95263097663</v>
      </c>
      <c r="D15" s="8" t="s">
        <v>311</v>
      </c>
      <c r="E15" s="123" t="s">
        <v>312</v>
      </c>
      <c r="F15" s="124" t="s">
        <v>313</v>
      </c>
      <c r="G15" s="113"/>
      <c r="H15" s="125"/>
      <c r="I15" s="126"/>
      <c r="J15" s="127"/>
      <c r="K15" s="98"/>
      <c r="L15" s="122"/>
      <c r="M15" s="117"/>
      <c r="N15" s="99"/>
      <c r="O15" s="117"/>
      <c r="P15" s="117"/>
      <c r="Q15" s="10"/>
      <c r="R15" s="10"/>
      <c r="V15" s="10"/>
    </row>
    <row r="16" spans="1:22" s="8" customFormat="1" ht="15">
      <c r="A16" s="10"/>
      <c r="B16" s="6" t="s">
        <v>314</v>
      </c>
      <c r="C16" s="128">
        <f>K53</f>
        <v>50915.62043795619</v>
      </c>
      <c r="D16" s="112" t="s">
        <v>311</v>
      </c>
      <c r="E16" s="129">
        <f>Displaced_Volume-C15</f>
        <v>638.6678069795598</v>
      </c>
      <c r="F16" s="112"/>
      <c r="G16" s="113"/>
      <c r="H16" s="125"/>
      <c r="I16" s="126"/>
      <c r="J16" s="127"/>
      <c r="K16" s="98"/>
      <c r="L16" s="122"/>
      <c r="M16" s="117"/>
      <c r="N16" s="99"/>
      <c r="O16" s="117"/>
      <c r="P16" s="117"/>
      <c r="Q16" s="10"/>
      <c r="R16" s="10"/>
      <c r="V16" s="10"/>
    </row>
    <row r="17" spans="1:22" s="8" customFormat="1" ht="15">
      <c r="A17" s="10"/>
      <c r="B17" s="6"/>
      <c r="C17" s="125"/>
      <c r="D17" s="93"/>
      <c r="E17" s="95"/>
      <c r="F17" s="10"/>
      <c r="G17" s="113"/>
      <c r="H17" s="125"/>
      <c r="I17" s="126"/>
      <c r="J17" s="127"/>
      <c r="K17" s="98"/>
      <c r="L17" s="122"/>
      <c r="M17" s="117"/>
      <c r="N17" s="99"/>
      <c r="O17" s="117"/>
      <c r="P17" s="117"/>
      <c r="Q17" s="10"/>
      <c r="R17" s="10"/>
      <c r="V17" s="10"/>
    </row>
    <row r="18" spans="1:22" s="8" customFormat="1" ht="15">
      <c r="A18" s="10"/>
      <c r="B18" s="130" t="s">
        <v>315</v>
      </c>
      <c r="C18" s="131">
        <v>1.0275</v>
      </c>
      <c r="D18" s="105" t="s">
        <v>316</v>
      </c>
      <c r="E18" s="95"/>
      <c r="F18" s="10"/>
      <c r="G18" s="113"/>
      <c r="J18" s="98"/>
      <c r="K18" s="98"/>
      <c r="L18" s="122"/>
      <c r="M18" s="117"/>
      <c r="N18" s="99"/>
      <c r="O18" s="117"/>
      <c r="P18" s="117"/>
      <c r="Q18" s="10"/>
      <c r="R18" s="10"/>
      <c r="V18" s="10"/>
    </row>
    <row r="19" spans="1:22" s="8" customFormat="1" ht="15.75">
      <c r="A19" s="10"/>
      <c r="B19" s="6" t="s">
        <v>317</v>
      </c>
      <c r="C19" s="97">
        <f>Displaced_Volume*rho_2-Total_Weight_In_Air</f>
        <v>0</v>
      </c>
      <c r="D19" s="8" t="s">
        <v>311</v>
      </c>
      <c r="F19" s="124" t="s">
        <v>318</v>
      </c>
      <c r="G19" s="113"/>
      <c r="H19" s="115"/>
      <c r="I19" s="97"/>
      <c r="J19" s="132"/>
      <c r="K19" s="98"/>
      <c r="L19" s="122"/>
      <c r="M19" s="117"/>
      <c r="N19" s="99"/>
      <c r="O19" s="117"/>
      <c r="P19" s="117"/>
      <c r="Q19" s="10"/>
      <c r="R19" s="10"/>
      <c r="V19" s="10"/>
    </row>
    <row r="20" spans="2:27" s="101" customFormat="1" ht="15.75">
      <c r="B20" s="133" t="s">
        <v>319</v>
      </c>
      <c r="C20" s="134">
        <v>0.6145269913877716</v>
      </c>
      <c r="D20" s="98"/>
      <c r="E20" s="135">
        <f>Cal!C41+C20*(Cal!C42-Cal!C41)</f>
        <v>2545.537040632301</v>
      </c>
      <c r="F20" s="136" t="s">
        <v>320</v>
      </c>
      <c r="G20" s="136" t="s">
        <v>321</v>
      </c>
      <c r="J20" s="137"/>
      <c r="K20" s="138"/>
      <c r="L20" s="139"/>
      <c r="M20" s="98"/>
      <c r="N20" s="138"/>
      <c r="O20" s="139"/>
      <c r="P20" s="98"/>
      <c r="Q20" s="119"/>
      <c r="R20" s="99"/>
      <c r="S20" s="8"/>
      <c r="T20" s="8"/>
      <c r="U20" s="8"/>
      <c r="W20" s="8"/>
      <c r="X20" s="8"/>
      <c r="Y20" s="8"/>
      <c r="Z20" s="8"/>
      <c r="AA20" s="8"/>
    </row>
    <row r="21" spans="2:27" s="101" customFormat="1" ht="15.75">
      <c r="B21" s="140"/>
      <c r="C21" s="141"/>
      <c r="D21" s="98"/>
      <c r="E21" s="98"/>
      <c r="F21" s="99"/>
      <c r="G21"/>
      <c r="H21"/>
      <c r="I21"/>
      <c r="J21" s="137"/>
      <c r="K21" s="138"/>
      <c r="L21" s="139"/>
      <c r="M21" s="98"/>
      <c r="N21" s="138"/>
      <c r="O21" s="139"/>
      <c r="P21" s="98"/>
      <c r="Q21" s="119"/>
      <c r="R21" s="99"/>
      <c r="S21" s="8"/>
      <c r="T21" s="8"/>
      <c r="U21" s="8"/>
      <c r="W21" s="8"/>
      <c r="X21" s="8"/>
      <c r="Y21" s="8"/>
      <c r="Z21" s="8"/>
      <c r="AA21" s="8"/>
    </row>
    <row r="22" spans="2:27" s="101" customFormat="1" ht="15.75">
      <c r="B22" s="140"/>
      <c r="C22" s="141"/>
      <c r="D22" s="98"/>
      <c r="E22" s="98"/>
      <c r="G22" s="11" t="s">
        <v>322</v>
      </c>
      <c r="H22" s="29">
        <v>0.00167</v>
      </c>
      <c r="I22" s="142" t="s">
        <v>323</v>
      </c>
      <c r="J22" s="137"/>
      <c r="K22" s="138"/>
      <c r="L22" s="139"/>
      <c r="M22" s="98"/>
      <c r="N22" s="138"/>
      <c r="O22" s="139"/>
      <c r="P22" s="98"/>
      <c r="Q22" s="119"/>
      <c r="R22" s="99"/>
      <c r="S22" s="8"/>
      <c r="T22" s="8"/>
      <c r="U22" s="8"/>
      <c r="W22" s="8"/>
      <c r="X22" s="8"/>
      <c r="Y22" s="8"/>
      <c r="Z22" s="8"/>
      <c r="AA22" s="8"/>
    </row>
    <row r="23" spans="2:27" s="101" customFormat="1" ht="15.75">
      <c r="B23" s="143" t="s">
        <v>324</v>
      </c>
      <c r="C23" s="141"/>
      <c r="D23" s="98"/>
      <c r="E23" s="98"/>
      <c r="F23" s="99"/>
      <c r="G23" s="144"/>
      <c r="H23" s="145"/>
      <c r="L23" s="139"/>
      <c r="M23" s="98"/>
      <c r="N23" s="138"/>
      <c r="O23" s="139"/>
      <c r="P23" s="98"/>
      <c r="Q23" s="119"/>
      <c r="R23" s="99"/>
      <c r="S23" s="8"/>
      <c r="T23" s="8"/>
      <c r="U23" s="8"/>
      <c r="W23" s="8"/>
      <c r="X23" s="8"/>
      <c r="Y23" s="8"/>
      <c r="Z23" s="8"/>
      <c r="AA23" s="8"/>
    </row>
    <row r="24" spans="1:22" s="8" customFormat="1" ht="15">
      <c r="A24" s="10"/>
      <c r="B24" s="6" t="s">
        <v>325</v>
      </c>
      <c r="C24" s="146">
        <f>Total_Moment_LCG/Total_Weight</f>
        <v>89.54453413851587</v>
      </c>
      <c r="D24" s="10" t="s">
        <v>326</v>
      </c>
      <c r="E24" s="147">
        <f>C24/2.54</f>
        <v>35.25375359784089</v>
      </c>
      <c r="F24" s="112" t="s">
        <v>327</v>
      </c>
      <c r="M24" s="98"/>
      <c r="N24" s="98"/>
      <c r="O24" s="98"/>
      <c r="P24" s="98"/>
      <c r="R24" s="10"/>
      <c r="V24" s="10"/>
    </row>
    <row r="25" spans="1:22" s="8" customFormat="1" ht="15">
      <c r="A25" s="10"/>
      <c r="B25" s="6" t="s">
        <v>328</v>
      </c>
      <c r="C25" s="148">
        <f>Total_Moment_LCB/Displaced_Volume</f>
        <v>89.53667119365352</v>
      </c>
      <c r="D25" s="10" t="s">
        <v>326</v>
      </c>
      <c r="E25" s="147">
        <f>C25/2.54</f>
        <v>35.25065795025729</v>
      </c>
      <c r="F25" s="149" t="s">
        <v>327</v>
      </c>
      <c r="G25" s="146"/>
      <c r="J25" s="98"/>
      <c r="O25" s="98"/>
      <c r="R25" s="10"/>
      <c r="V25" s="10"/>
    </row>
    <row r="26" spans="1:22" s="8" customFormat="1" ht="15">
      <c r="A26" s="10"/>
      <c r="B26" s="6">
        <v>4</v>
      </c>
      <c r="C26" s="146">
        <f>C24-C25</f>
        <v>0.00786294486235306</v>
      </c>
      <c r="D26" s="10" t="s">
        <v>326</v>
      </c>
      <c r="F26" s="10"/>
      <c r="J26" s="98"/>
      <c r="O26" s="98"/>
      <c r="R26" s="10"/>
      <c r="V26" s="10"/>
    </row>
    <row r="27" spans="1:22" s="8" customFormat="1" ht="15">
      <c r="A27" s="10"/>
      <c r="B27" s="133" t="s">
        <v>329</v>
      </c>
      <c r="C27" s="134">
        <v>0.7505428592269184</v>
      </c>
      <c r="D27" s="140"/>
      <c r="E27" s="135">
        <f>Cal!C11+stroke_2*(Cal!C12-Cal!C11)</f>
        <v>2903.535463997335</v>
      </c>
      <c r="F27" s="136" t="s">
        <v>320</v>
      </c>
      <c r="G27" s="136" t="s">
        <v>321</v>
      </c>
      <c r="J27" s="150"/>
      <c r="K27" s="151"/>
      <c r="O27" s="98"/>
      <c r="R27" s="10"/>
      <c r="V27" s="10"/>
    </row>
    <row r="28" spans="1:22" s="8" customFormat="1" ht="15">
      <c r="A28" s="10"/>
      <c r="B28" s="133" t="s">
        <v>330</v>
      </c>
      <c r="C28" s="152">
        <f>stroke_2*15.32</f>
        <v>11.498316603356391</v>
      </c>
      <c r="D28" s="140" t="s">
        <v>326</v>
      </c>
      <c r="J28" s="152"/>
      <c r="O28" s="98"/>
      <c r="R28" s="10"/>
      <c r="V28" s="10"/>
    </row>
    <row r="29" spans="1:22" s="8" customFormat="1" ht="15">
      <c r="A29" s="10"/>
      <c r="B29" s="133" t="s">
        <v>331</v>
      </c>
      <c r="C29" s="153">
        <f>DEGREES(ATAN(C26/C33))</f>
        <v>0.7201955524921865</v>
      </c>
      <c r="D29" s="140" t="s">
        <v>332</v>
      </c>
      <c r="E29" s="136" t="s">
        <v>333</v>
      </c>
      <c r="F29" s="99"/>
      <c r="G29" s="133"/>
      <c r="H29" s="154"/>
      <c r="I29" s="136"/>
      <c r="J29" s="152"/>
      <c r="O29" s="98"/>
      <c r="R29" s="10"/>
      <c r="V29" s="10"/>
    </row>
    <row r="30" spans="1:22" s="8" customFormat="1" ht="15">
      <c r="A30" s="10"/>
      <c r="F30" s="99"/>
      <c r="G30" s="133"/>
      <c r="H30" s="154"/>
      <c r="I30" s="136"/>
      <c r="J30" s="152"/>
      <c r="O30" s="98"/>
      <c r="R30" s="10"/>
      <c r="V30" s="10"/>
    </row>
    <row r="31" spans="1:22" s="8" customFormat="1" ht="15">
      <c r="A31" s="10"/>
      <c r="B31" s="119" t="s">
        <v>334</v>
      </c>
      <c r="C31" s="155">
        <f>Tot_mom_VCG/Total_Weight_In_Air</f>
        <v>-0.5738408425752837</v>
      </c>
      <c r="D31" s="99" t="s">
        <v>326</v>
      </c>
      <c r="E31" s="98" t="s">
        <v>335</v>
      </c>
      <c r="F31" s="98"/>
      <c r="G31" s="98"/>
      <c r="H31" s="99"/>
      <c r="I31" s="98"/>
      <c r="J31" s="98"/>
      <c r="K31" s="98"/>
      <c r="L31" s="156"/>
      <c r="M31" s="114"/>
      <c r="N31" s="98"/>
      <c r="O31" s="98"/>
      <c r="P31" s="119"/>
      <c r="Q31" s="99"/>
      <c r="R31" s="99"/>
      <c r="S31" s="119"/>
      <c r="T31" s="99"/>
      <c r="V31" s="10"/>
    </row>
    <row r="32" spans="1:22" s="158" customFormat="1" ht="15">
      <c r="A32" s="157"/>
      <c r="B32" s="119" t="s">
        <v>336</v>
      </c>
      <c r="C32" s="155">
        <f>Tot_mom_VCB/Displaced_Volume</f>
        <v>0.05166958494928883</v>
      </c>
      <c r="D32" s="99" t="s">
        <v>326</v>
      </c>
      <c r="E32" s="137" t="s">
        <v>337</v>
      </c>
      <c r="G32" s="98"/>
      <c r="H32" s="155"/>
      <c r="I32" s="137"/>
      <c r="J32" s="137"/>
      <c r="K32" s="98"/>
      <c r="L32" s="119"/>
      <c r="M32" s="159"/>
      <c r="N32" s="137"/>
      <c r="O32" s="98"/>
      <c r="P32" s="119"/>
      <c r="Q32" s="160"/>
      <c r="R32" s="99"/>
      <c r="S32" s="119"/>
      <c r="T32" s="161"/>
      <c r="V32" s="157"/>
    </row>
    <row r="33" spans="1:22" s="158" customFormat="1" ht="15">
      <c r="A33" s="157"/>
      <c r="B33" s="119" t="s">
        <v>338</v>
      </c>
      <c r="C33" s="155">
        <f>C32-C31</f>
        <v>0.6255104275245725</v>
      </c>
      <c r="D33" s="99" t="s">
        <v>326</v>
      </c>
      <c r="E33" s="132" t="s">
        <v>339</v>
      </c>
      <c r="G33" s="98"/>
      <c r="H33" s="99"/>
      <c r="J33" s="98"/>
      <c r="K33" s="98"/>
      <c r="L33" s="119"/>
      <c r="M33" s="114"/>
      <c r="N33" s="137"/>
      <c r="O33" s="98"/>
      <c r="P33" s="119"/>
      <c r="Q33" s="114"/>
      <c r="R33" s="99"/>
      <c r="S33" s="119"/>
      <c r="T33" s="162"/>
      <c r="V33" s="157"/>
    </row>
    <row r="34" spans="1:22" s="158" customFormat="1" ht="15">
      <c r="A34" s="157"/>
      <c r="B34" s="133" t="s">
        <v>340</v>
      </c>
      <c r="C34" s="111">
        <v>0</v>
      </c>
      <c r="D34" s="140" t="s">
        <v>332</v>
      </c>
      <c r="E34" s="137"/>
      <c r="F34" s="99"/>
      <c r="G34" s="98"/>
      <c r="H34" s="137"/>
      <c r="I34" s="137"/>
      <c r="J34" s="137"/>
      <c r="K34" s="163"/>
      <c r="L34" s="137"/>
      <c r="M34" s="99"/>
      <c r="N34" s="98"/>
      <c r="O34" s="98"/>
      <c r="P34" s="139"/>
      <c r="Q34" s="164"/>
      <c r="R34" s="140"/>
      <c r="S34" s="137"/>
      <c r="T34" s="137"/>
      <c r="V34" s="157"/>
    </row>
    <row r="35" spans="1:22" s="158" customFormat="1" ht="15">
      <c r="A35" s="157"/>
      <c r="B35" s="119" t="s">
        <v>341</v>
      </c>
      <c r="C35" s="117" t="e">
        <f>NA()</f>
        <v>#N/A</v>
      </c>
      <c r="D35" s="140" t="s">
        <v>332</v>
      </c>
      <c r="E35" s="137" t="s">
        <v>342</v>
      </c>
      <c r="F35" s="99"/>
      <c r="G35" s="98"/>
      <c r="H35" s="119"/>
      <c r="J35" s="140"/>
      <c r="K35" s="163"/>
      <c r="L35" s="137"/>
      <c r="M35" s="99"/>
      <c r="N35" s="98"/>
      <c r="O35" s="98"/>
      <c r="P35" s="139"/>
      <c r="Q35" s="164"/>
      <c r="R35" s="140"/>
      <c r="S35" s="137"/>
      <c r="T35" s="137"/>
      <c r="V35" s="157"/>
    </row>
    <row r="36" spans="1:22" s="158" customFormat="1" ht="15">
      <c r="A36" s="165"/>
      <c r="B36" s="165"/>
      <c r="C36" s="166"/>
      <c r="D36" s="165"/>
      <c r="E36" s="167"/>
      <c r="F36" s="165"/>
      <c r="G36" s="167"/>
      <c r="H36" s="167"/>
      <c r="I36" s="168"/>
      <c r="J36" s="169"/>
      <c r="K36" s="165"/>
      <c r="L36" s="170"/>
      <c r="M36" s="166"/>
      <c r="N36" s="171"/>
      <c r="O36" s="167"/>
      <c r="P36" s="172"/>
      <c r="Q36" s="173"/>
      <c r="R36" s="165"/>
      <c r="V36" s="157"/>
    </row>
    <row r="37" spans="2:27" s="101" customFormat="1" ht="16.5" customHeight="1">
      <c r="B37" s="8"/>
      <c r="C37" s="10"/>
      <c r="D37" s="174"/>
      <c r="E37" s="8"/>
      <c r="F37" s="101" t="s">
        <v>343</v>
      </c>
      <c r="H37" s="8"/>
      <c r="I37" s="101" t="s">
        <v>344</v>
      </c>
      <c r="J37" s="175"/>
      <c r="K37" s="8"/>
      <c r="L37" s="8"/>
      <c r="M37" s="8"/>
      <c r="N37" s="101" t="s">
        <v>344</v>
      </c>
      <c r="O37" s="176"/>
      <c r="P37" s="8"/>
      <c r="Q37" s="101" t="s">
        <v>344</v>
      </c>
      <c r="R37" s="101" t="s">
        <v>344</v>
      </c>
      <c r="S37" s="8"/>
      <c r="T37" s="8"/>
      <c r="U37" s="8"/>
      <c r="W37" s="8"/>
      <c r="X37" s="8"/>
      <c r="Y37" s="8"/>
      <c r="Z37" s="8"/>
      <c r="AA37" s="8"/>
    </row>
    <row r="38" spans="1:27" s="101" customFormat="1" ht="16.5" customHeight="1">
      <c r="A38" s="101" t="s">
        <v>345</v>
      </c>
      <c r="C38" s="101" t="s">
        <v>346</v>
      </c>
      <c r="D38" s="177" t="s">
        <v>347</v>
      </c>
      <c r="E38" s="178" t="s">
        <v>190</v>
      </c>
      <c r="F38" s="179" t="s">
        <v>190</v>
      </c>
      <c r="G38" s="180" t="s">
        <v>191</v>
      </c>
      <c r="H38" s="101" t="s">
        <v>191</v>
      </c>
      <c r="I38" s="101" t="s">
        <v>191</v>
      </c>
      <c r="J38" s="181" t="s">
        <v>192</v>
      </c>
      <c r="K38" s="101" t="s">
        <v>193</v>
      </c>
      <c r="L38" s="180" t="s">
        <v>194</v>
      </c>
      <c r="M38" s="101" t="s">
        <v>194</v>
      </c>
      <c r="N38" s="101" t="s">
        <v>194</v>
      </c>
      <c r="O38" s="182" t="s">
        <v>195</v>
      </c>
      <c r="P38" s="101" t="s">
        <v>195</v>
      </c>
      <c r="Q38" s="101" t="s">
        <v>196</v>
      </c>
      <c r="R38" s="101" t="s">
        <v>197</v>
      </c>
      <c r="S38" s="8"/>
      <c r="T38" s="8"/>
      <c r="U38" s="8"/>
      <c r="W38" s="8"/>
      <c r="X38" s="8"/>
      <c r="Y38" s="8"/>
      <c r="Z38" s="8"/>
      <c r="AA38" s="8"/>
    </row>
    <row r="39" spans="1:28" s="112" customFormat="1" ht="16.5" customHeight="1">
      <c r="A39" s="183" t="s">
        <v>198</v>
      </c>
      <c r="B39" s="184" t="s">
        <v>199</v>
      </c>
      <c r="C39" s="184" t="s">
        <v>200</v>
      </c>
      <c r="D39" s="185"/>
      <c r="E39" s="186" t="s">
        <v>201</v>
      </c>
      <c r="F39" s="184" t="s">
        <v>201</v>
      </c>
      <c r="G39" s="187" t="s">
        <v>202</v>
      </c>
      <c r="H39" s="184" t="s">
        <v>326</v>
      </c>
      <c r="I39" s="184" t="s">
        <v>203</v>
      </c>
      <c r="J39" s="188" t="s">
        <v>311</v>
      </c>
      <c r="K39" s="184" t="s">
        <v>311</v>
      </c>
      <c r="L39" s="187" t="s">
        <v>202</v>
      </c>
      <c r="M39" s="184" t="s">
        <v>326</v>
      </c>
      <c r="N39" s="184" t="s">
        <v>204</v>
      </c>
      <c r="O39" s="189" t="s">
        <v>202</v>
      </c>
      <c r="P39" s="184" t="s">
        <v>326</v>
      </c>
      <c r="Q39" s="184" t="s">
        <v>203</v>
      </c>
      <c r="R39" s="184" t="s">
        <v>204</v>
      </c>
      <c r="S39" s="8"/>
      <c r="U39" s="8"/>
      <c r="V39" s="97"/>
      <c r="W39" s="8"/>
      <c r="X39" s="8"/>
      <c r="Y39" s="8"/>
      <c r="Z39" s="8"/>
      <c r="AA39" s="8"/>
      <c r="AB39" s="8"/>
    </row>
    <row r="40" spans="1:28" s="112" customFormat="1" ht="16.5" customHeight="1">
      <c r="A40" s="10"/>
      <c r="B40" s="179"/>
      <c r="C40" s="179"/>
      <c r="D40" s="177"/>
      <c r="E40" s="190"/>
      <c r="F40" s="179"/>
      <c r="G40" s="191"/>
      <c r="H40" s="179"/>
      <c r="I40" s="179"/>
      <c r="J40" s="181"/>
      <c r="K40" s="179"/>
      <c r="L40" s="191"/>
      <c r="M40" s="179"/>
      <c r="N40" s="179"/>
      <c r="O40" s="182"/>
      <c r="P40" s="179"/>
      <c r="Q40" s="179"/>
      <c r="R40" s="179"/>
      <c r="S40" s="8"/>
      <c r="U40" s="8"/>
      <c r="V40" s="97"/>
      <c r="W40" s="8"/>
      <c r="X40" s="8"/>
      <c r="Y40" s="8"/>
      <c r="Z40" s="8"/>
      <c r="AA40" s="8"/>
      <c r="AB40" s="8"/>
    </row>
    <row r="41" spans="1:28" s="124" customFormat="1" ht="16.5" customHeight="1">
      <c r="A41" s="101"/>
      <c r="B41" s="6" t="s">
        <v>205</v>
      </c>
      <c r="D41" s="177"/>
      <c r="E41" s="192"/>
      <c r="F41" s="193"/>
      <c r="G41" s="180"/>
      <c r="H41" s="101"/>
      <c r="J41" s="181"/>
      <c r="K41" s="101"/>
      <c r="L41" s="180"/>
      <c r="M41" s="101"/>
      <c r="O41" s="182"/>
      <c r="P41" s="101"/>
      <c r="R41" s="101"/>
      <c r="S41" s="194"/>
      <c r="U41" s="194"/>
      <c r="V41" s="195"/>
      <c r="W41" s="194"/>
      <c r="X41" s="194"/>
      <c r="Y41" s="194"/>
      <c r="Z41" s="194"/>
      <c r="AA41" s="194"/>
      <c r="AB41" s="194"/>
    </row>
    <row r="42" spans="1:28" s="124" customFormat="1" ht="16.5" customHeight="1">
      <c r="A42" s="101"/>
      <c r="B42" s="6" t="s">
        <v>206</v>
      </c>
      <c r="C42" s="193">
        <f>C60+C79</f>
        <v>16086.5</v>
      </c>
      <c r="D42" s="196" t="s">
        <v>126</v>
      </c>
      <c r="E42" s="197" t="s">
        <v>312</v>
      </c>
      <c r="F42" s="198"/>
      <c r="G42" s="180"/>
      <c r="H42" s="101"/>
      <c r="J42" s="181"/>
      <c r="K42" s="101"/>
      <c r="L42" s="180"/>
      <c r="M42" s="101"/>
      <c r="O42" s="182"/>
      <c r="P42" s="101"/>
      <c r="R42" s="101"/>
      <c r="S42" s="194"/>
      <c r="U42" s="194"/>
      <c r="V42" s="195"/>
      <c r="W42" s="194"/>
      <c r="X42" s="194"/>
      <c r="Y42" s="194"/>
      <c r="Z42" s="194"/>
      <c r="AA42" s="194"/>
      <c r="AB42" s="194"/>
    </row>
    <row r="43" spans="1:28" s="124" customFormat="1" ht="16.5" customHeight="1">
      <c r="A43" s="101"/>
      <c r="B43" s="130" t="s">
        <v>207</v>
      </c>
      <c r="C43" s="193">
        <f>C61+C80</f>
        <v>15670.4</v>
      </c>
      <c r="D43" s="196" t="s">
        <v>126</v>
      </c>
      <c r="E43" s="199">
        <f>C43-C42</f>
        <v>-416.10000000000036</v>
      </c>
      <c r="F43" s="198"/>
      <c r="G43" s="180"/>
      <c r="H43" s="101"/>
      <c r="J43" s="181"/>
      <c r="K43" s="101"/>
      <c r="L43" s="180"/>
      <c r="M43" s="101"/>
      <c r="O43" s="182"/>
      <c r="P43" s="101"/>
      <c r="R43" s="101"/>
      <c r="S43" s="194"/>
      <c r="U43" s="194"/>
      <c r="V43" s="195"/>
      <c r="W43" s="194"/>
      <c r="X43" s="194"/>
      <c r="Y43" s="194"/>
      <c r="Z43" s="194"/>
      <c r="AA43" s="194"/>
      <c r="AB43" s="194"/>
    </row>
    <row r="44" spans="1:27" s="112" customFormat="1" ht="16.5" customHeight="1">
      <c r="A44" s="10"/>
      <c r="B44" s="6" t="s">
        <v>208</v>
      </c>
      <c r="C44" s="193">
        <f>SUM(K62:K116)</f>
        <v>8110.691555564483</v>
      </c>
      <c r="D44" s="175" t="s">
        <v>311</v>
      </c>
      <c r="G44" s="94"/>
      <c r="H44" s="8"/>
      <c r="I44" s="10"/>
      <c r="J44" s="200"/>
      <c r="K44" s="97"/>
      <c r="L44" s="113"/>
      <c r="M44" s="8"/>
      <c r="N44" s="97"/>
      <c r="O44" s="201"/>
      <c r="P44" s="97"/>
      <c r="Q44" s="97"/>
      <c r="R44" s="97"/>
      <c r="S44" s="8"/>
      <c r="T44" s="8"/>
      <c r="U44" s="8"/>
      <c r="V44" s="97"/>
      <c r="W44" s="8"/>
      <c r="X44" s="8"/>
      <c r="Y44" s="8"/>
      <c r="Z44" s="8"/>
      <c r="AA44" s="8"/>
    </row>
    <row r="45" spans="1:27" s="112" customFormat="1" ht="16.5" customHeight="1">
      <c r="A45" s="10"/>
      <c r="B45" s="124"/>
      <c r="C45" s="193"/>
      <c r="D45" s="175"/>
      <c r="E45" s="202" t="s">
        <v>209</v>
      </c>
      <c r="F45" s="203">
        <f>E43+E48</f>
        <v>-464.0000000000018</v>
      </c>
      <c r="G45" s="94"/>
      <c r="H45" s="8"/>
      <c r="I45" s="10"/>
      <c r="J45" s="200"/>
      <c r="K45" s="97"/>
      <c r="L45" s="113"/>
      <c r="M45" s="8"/>
      <c r="N45" s="97"/>
      <c r="O45" s="201"/>
      <c r="P45" s="97"/>
      <c r="Q45" s="97"/>
      <c r="R45" s="97"/>
      <c r="S45" s="8"/>
      <c r="T45" s="8"/>
      <c r="U45" s="8"/>
      <c r="V45" s="97"/>
      <c r="W45" s="8"/>
      <c r="X45" s="8"/>
      <c r="Y45" s="8"/>
      <c r="Z45" s="8"/>
      <c r="AA45" s="8"/>
    </row>
    <row r="46" spans="1:27" s="112" customFormat="1" ht="16.5" customHeight="1">
      <c r="A46" s="10"/>
      <c r="B46" s="6" t="s">
        <v>210</v>
      </c>
      <c r="C46" s="124"/>
      <c r="D46" s="177"/>
      <c r="E46" s="192"/>
      <c r="G46" s="94"/>
      <c r="H46" s="8"/>
      <c r="I46" s="10"/>
      <c r="J46" s="200"/>
      <c r="K46" s="97"/>
      <c r="L46" s="113"/>
      <c r="M46" s="8"/>
      <c r="N46" s="97"/>
      <c r="O46" s="201"/>
      <c r="P46" s="97"/>
      <c r="Q46" s="97"/>
      <c r="R46" s="97"/>
      <c r="S46" s="8"/>
      <c r="T46" s="8"/>
      <c r="U46" s="8"/>
      <c r="V46" s="97"/>
      <c r="W46" s="8"/>
      <c r="X46" s="8"/>
      <c r="Y46" s="8"/>
      <c r="Z46" s="8"/>
      <c r="AA46" s="8"/>
    </row>
    <row r="47" spans="1:27" s="112" customFormat="1" ht="16.5" customHeight="1">
      <c r="A47" s="10"/>
      <c r="B47" s="6" t="s">
        <v>206</v>
      </c>
      <c r="C47" s="193">
        <f>C120</f>
        <v>36242.9</v>
      </c>
      <c r="D47" s="196" t="s">
        <v>126</v>
      </c>
      <c r="E47" s="197" t="s">
        <v>312</v>
      </c>
      <c r="G47" s="94"/>
      <c r="H47" s="8"/>
      <c r="I47" s="10"/>
      <c r="J47" s="200"/>
      <c r="K47" s="97"/>
      <c r="L47" s="113"/>
      <c r="M47" s="8"/>
      <c r="N47" s="97"/>
      <c r="O47" s="201"/>
      <c r="P47" s="97"/>
      <c r="Q47" s="97"/>
      <c r="R47" s="97"/>
      <c r="S47" s="8"/>
      <c r="T47" s="8"/>
      <c r="U47" s="8"/>
      <c r="V47" s="97"/>
      <c r="W47" s="8"/>
      <c r="X47" s="8"/>
      <c r="Y47" s="8"/>
      <c r="Z47" s="8"/>
      <c r="AA47" s="8"/>
    </row>
    <row r="48" spans="1:27" s="112" customFormat="1" ht="16.5" customHeight="1">
      <c r="A48" s="10"/>
      <c r="B48" s="130" t="s">
        <v>207</v>
      </c>
      <c r="C48" s="193">
        <f>C121</f>
        <v>36195</v>
      </c>
      <c r="D48" s="196" t="s">
        <v>126</v>
      </c>
      <c r="E48" s="199">
        <f>C48-C47</f>
        <v>-47.900000000001455</v>
      </c>
      <c r="G48" s="94"/>
      <c r="H48" s="8"/>
      <c r="I48" s="10"/>
      <c r="J48" s="200"/>
      <c r="K48" s="97"/>
      <c r="L48" s="113"/>
      <c r="M48" s="8"/>
      <c r="N48" s="97"/>
      <c r="O48" s="201"/>
      <c r="P48" s="97"/>
      <c r="Q48" s="97"/>
      <c r="R48" s="97"/>
      <c r="S48" s="8"/>
      <c r="T48" s="8"/>
      <c r="U48" s="8"/>
      <c r="V48" s="97"/>
      <c r="W48" s="8"/>
      <c r="X48" s="8"/>
      <c r="Y48" s="8"/>
      <c r="Z48" s="8"/>
      <c r="AA48" s="8"/>
    </row>
    <row r="49" spans="1:27" s="112" customFormat="1" ht="16.5" customHeight="1">
      <c r="A49" s="10"/>
      <c r="B49" s="6" t="s">
        <v>208</v>
      </c>
      <c r="C49" s="195">
        <f>SUM(K121:K405)+SUM(K56:K57)</f>
        <v>42804.92888239171</v>
      </c>
      <c r="D49" s="175" t="s">
        <v>311</v>
      </c>
      <c r="G49" s="94"/>
      <c r="H49" s="8"/>
      <c r="I49" s="10"/>
      <c r="J49" s="200"/>
      <c r="K49" s="97"/>
      <c r="L49" s="113"/>
      <c r="M49" s="8"/>
      <c r="N49" s="97"/>
      <c r="O49" s="201"/>
      <c r="P49" s="97"/>
      <c r="Q49" s="97"/>
      <c r="R49" s="97"/>
      <c r="S49" s="8"/>
      <c r="T49" s="8"/>
      <c r="U49" s="8"/>
      <c r="V49" s="97"/>
      <c r="W49" s="8"/>
      <c r="X49" s="8"/>
      <c r="Y49" s="8"/>
      <c r="Z49" s="8"/>
      <c r="AA49" s="8"/>
    </row>
    <row r="50" spans="1:27" s="112" customFormat="1" ht="16.5" customHeight="1">
      <c r="A50" s="10"/>
      <c r="B50" s="6"/>
      <c r="D50" s="175"/>
      <c r="E50" s="202"/>
      <c r="F50" s="203"/>
      <c r="G50" s="94"/>
      <c r="H50" s="8"/>
      <c r="I50" s="10"/>
      <c r="J50" s="200"/>
      <c r="K50" s="97"/>
      <c r="L50" s="113"/>
      <c r="M50" s="8"/>
      <c r="N50" s="97"/>
      <c r="O50" s="201"/>
      <c r="P50" s="97"/>
      <c r="Q50" s="97"/>
      <c r="R50" s="97"/>
      <c r="S50" s="8"/>
      <c r="T50" s="8"/>
      <c r="U50" s="8"/>
      <c r="V50" s="97"/>
      <c r="W50" s="8"/>
      <c r="X50" s="8"/>
      <c r="Y50" s="8"/>
      <c r="Z50" s="8"/>
      <c r="AA50" s="8"/>
    </row>
    <row r="51" spans="1:27" s="112" customFormat="1" ht="16.5" customHeight="1">
      <c r="A51" s="10"/>
      <c r="C51" s="6" t="s">
        <v>211</v>
      </c>
      <c r="D51" s="175"/>
      <c r="F51" s="204">
        <f>SUM(F55:F405)</f>
        <v>52368.39999999998</v>
      </c>
      <c r="G51" s="204"/>
      <c r="H51" s="204"/>
      <c r="I51" s="204">
        <f>SUM(I55:I405)</f>
        <v>4675662.075725541</v>
      </c>
      <c r="J51" s="204"/>
      <c r="K51" s="204">
        <f>SUM(K55:K405)</f>
        <v>50915.62043795619</v>
      </c>
      <c r="L51" s="204"/>
      <c r="M51" s="204"/>
      <c r="N51" s="204">
        <f>SUM(N55:N405)</f>
        <v>4558815.165774148</v>
      </c>
      <c r="O51" s="204"/>
      <c r="P51" s="204"/>
      <c r="Q51" s="204">
        <f>SUM(Q55:Q405)</f>
        <v>-30020.942752000017</v>
      </c>
      <c r="R51" s="204">
        <f>SUM(R55:R405)</f>
        <v>2630.788975464724</v>
      </c>
      <c r="S51" s="8"/>
      <c r="T51" s="8"/>
      <c r="U51" s="8"/>
      <c r="V51" s="97"/>
      <c r="W51" s="8"/>
      <c r="X51" s="8"/>
      <c r="Y51" s="8"/>
      <c r="Z51" s="8"/>
      <c r="AA51" s="8"/>
    </row>
    <row r="52" spans="1:28" s="112" customFormat="1" ht="16.5" customHeight="1">
      <c r="A52" s="10"/>
      <c r="C52" s="205" t="s">
        <v>212</v>
      </c>
      <c r="D52" s="200"/>
      <c r="E52" s="206"/>
      <c r="F52" s="206">
        <f>-55.3+2.7</f>
        <v>-52.599999999999994</v>
      </c>
      <c r="G52" s="206">
        <v>-66.85326306267879</v>
      </c>
      <c r="H52" s="207">
        <f>G52*2.54</f>
        <v>-169.80728817920414</v>
      </c>
      <c r="I52" s="128">
        <f>F52*H52</f>
        <v>8931.863358226137</v>
      </c>
      <c r="J52" s="208">
        <v>0</v>
      </c>
      <c r="K52" s="128">
        <f>J52*D52</f>
        <v>0</v>
      </c>
      <c r="L52" s="206">
        <v>29.860115027938985</v>
      </c>
      <c r="M52" s="207">
        <f>L52*2.54</f>
        <v>75.84469217096502</v>
      </c>
      <c r="N52" s="128">
        <f>K52*M52</f>
        <v>0</v>
      </c>
      <c r="O52" s="209">
        <v>0</v>
      </c>
      <c r="P52" s="207">
        <f>O52*2.54</f>
        <v>0</v>
      </c>
      <c r="Q52" s="128">
        <f>F52*P52</f>
        <v>0</v>
      </c>
      <c r="R52" s="207">
        <f>K52*P52</f>
        <v>0</v>
      </c>
      <c r="S52" s="8"/>
      <c r="U52" s="8"/>
      <c r="V52" s="97"/>
      <c r="W52" s="8"/>
      <c r="X52" s="8"/>
      <c r="Y52" s="8"/>
      <c r="Z52" s="8"/>
      <c r="AA52" s="8"/>
      <c r="AB52" s="8"/>
    </row>
    <row r="53" spans="1:27" s="112" customFormat="1" ht="16.5" customHeight="1">
      <c r="A53" s="10"/>
      <c r="C53" s="210" t="s">
        <v>213</v>
      </c>
      <c r="D53" s="175"/>
      <c r="F53" s="211">
        <f>SUM(F50:F52)</f>
        <v>52315.79999999998</v>
      </c>
      <c r="G53" s="211"/>
      <c r="H53" s="211"/>
      <c r="I53" s="211">
        <f>SUM(I51:I52)</f>
        <v>4684593.939083767</v>
      </c>
      <c r="J53" s="212"/>
      <c r="K53" s="211">
        <f>SUM(K51:K52)</f>
        <v>50915.62043795619</v>
      </c>
      <c r="L53" s="211"/>
      <c r="M53" s="211"/>
      <c r="N53" s="211">
        <f>SUM(N51:N52)</f>
        <v>4558815.165774148</v>
      </c>
      <c r="O53" s="212"/>
      <c r="P53" s="211"/>
      <c r="Q53" s="211">
        <f>SUM(Q51:Q52)</f>
        <v>-30020.942752000017</v>
      </c>
      <c r="R53" s="211">
        <f>SUM(R51:R52)</f>
        <v>2630.788975464724</v>
      </c>
      <c r="S53" s="8"/>
      <c r="T53" s="8"/>
      <c r="U53" s="8"/>
      <c r="V53" s="97"/>
      <c r="W53" s="8"/>
      <c r="X53" s="8"/>
      <c r="Y53" s="8"/>
      <c r="Z53" s="8"/>
      <c r="AA53" s="8"/>
    </row>
    <row r="54" spans="1:27" s="112" customFormat="1" ht="16.5" customHeight="1">
      <c r="A54" s="171"/>
      <c r="B54" s="213"/>
      <c r="C54" s="214"/>
      <c r="D54" s="215"/>
      <c r="E54" s="216"/>
      <c r="F54" s="217"/>
      <c r="G54" s="218"/>
      <c r="H54" s="167"/>
      <c r="I54" s="171"/>
      <c r="J54" s="219"/>
      <c r="K54" s="220"/>
      <c r="L54" s="221"/>
      <c r="M54" s="167"/>
      <c r="N54" s="220"/>
      <c r="O54" s="222"/>
      <c r="P54" s="220"/>
      <c r="Q54" s="220"/>
      <c r="R54" s="220"/>
      <c r="S54" s="8"/>
      <c r="T54" s="8"/>
      <c r="U54" s="8"/>
      <c r="V54" s="97"/>
      <c r="W54" s="8"/>
      <c r="X54" s="8"/>
      <c r="Y54" s="8"/>
      <c r="Z54" s="8"/>
      <c r="AA54" s="8"/>
    </row>
    <row r="55" spans="1:27" s="112" customFormat="1" ht="24.75" customHeight="1">
      <c r="A55" s="101">
        <v>0</v>
      </c>
      <c r="B55" s="223" t="s">
        <v>214</v>
      </c>
      <c r="C55" s="224">
        <v>49801</v>
      </c>
      <c r="D55" s="175"/>
      <c r="E55" s="225"/>
      <c r="F55" s="226"/>
      <c r="G55" s="100"/>
      <c r="H55" s="98"/>
      <c r="I55" s="99"/>
      <c r="J55" s="200"/>
      <c r="K55" s="114"/>
      <c r="L55" s="122"/>
      <c r="M55" s="98"/>
      <c r="N55" s="114"/>
      <c r="O55" s="201"/>
      <c r="P55" s="114"/>
      <c r="Q55" s="114"/>
      <c r="R55" s="114"/>
      <c r="S55" s="8"/>
      <c r="T55" s="8"/>
      <c r="U55" s="8"/>
      <c r="V55" s="97"/>
      <c r="W55" s="8"/>
      <c r="X55" s="8"/>
      <c r="Y55" s="8"/>
      <c r="Z55" s="8"/>
      <c r="AA55" s="8"/>
    </row>
    <row r="56" spans="1:27" s="233" customFormat="1" ht="16.5" customHeight="1">
      <c r="A56" s="103">
        <v>1</v>
      </c>
      <c r="B56" s="105" t="s">
        <v>215</v>
      </c>
      <c r="C56" s="227">
        <v>55240</v>
      </c>
      <c r="D56" s="200">
        <v>1</v>
      </c>
      <c r="E56" s="206">
        <v>11.7</v>
      </c>
      <c r="F56" s="207">
        <f>E56*D56</f>
        <v>11.7</v>
      </c>
      <c r="G56" s="228">
        <v>46</v>
      </c>
      <c r="H56" s="207">
        <f>G56*2.54</f>
        <v>116.84</v>
      </c>
      <c r="I56" s="128">
        <f>F56*H56</f>
        <v>1367.028</v>
      </c>
      <c r="J56" s="229">
        <f>E56/SS_Density</f>
        <v>1.4575806652547652</v>
      </c>
      <c r="K56" s="128">
        <f>J56*D56</f>
        <v>1.4575806652547652</v>
      </c>
      <c r="L56" s="230">
        <f>G56</f>
        <v>46</v>
      </c>
      <c r="M56" s="207">
        <f>L56*2.54</f>
        <v>116.84</v>
      </c>
      <c r="N56" s="128">
        <f>K56*M56</f>
        <v>170.30372492836676</v>
      </c>
      <c r="O56" s="209">
        <v>0</v>
      </c>
      <c r="P56" s="207">
        <f>O56*2.54</f>
        <v>0</v>
      </c>
      <c r="Q56" s="128">
        <f>F56*P56</f>
        <v>0</v>
      </c>
      <c r="R56" s="207">
        <f>K56*P56</f>
        <v>0</v>
      </c>
      <c r="S56" s="231"/>
      <c r="T56" s="231"/>
      <c r="U56" s="231"/>
      <c r="V56" s="232"/>
      <c r="W56" s="231"/>
      <c r="X56" s="231"/>
      <c r="Y56" s="231"/>
      <c r="Z56" s="231"/>
      <c r="AA56" s="231"/>
    </row>
    <row r="57" spans="1:27" s="233" customFormat="1" ht="16.5" customHeight="1">
      <c r="A57" s="103">
        <v>1</v>
      </c>
      <c r="B57" s="105" t="s">
        <v>216</v>
      </c>
      <c r="C57" s="227">
        <v>55294</v>
      </c>
      <c r="D57" s="200">
        <v>1</v>
      </c>
      <c r="E57" s="206">
        <v>27.3</v>
      </c>
      <c r="F57" s="207">
        <f>E57*D57</f>
        <v>27.3</v>
      </c>
      <c r="G57" s="228">
        <v>49.5</v>
      </c>
      <c r="H57" s="207">
        <f>G57*2.54</f>
        <v>125.73</v>
      </c>
      <c r="I57" s="128">
        <f>F57*H57</f>
        <v>3432.429</v>
      </c>
      <c r="J57" s="229">
        <f>E57/SS_Density</f>
        <v>3.401021552261119</v>
      </c>
      <c r="K57" s="128">
        <f>J57*D57</f>
        <v>3.401021552261119</v>
      </c>
      <c r="L57" s="230">
        <f>G57</f>
        <v>49.5</v>
      </c>
      <c r="M57" s="207">
        <f>L57*2.54</f>
        <v>125.73</v>
      </c>
      <c r="N57" s="128">
        <f>K57*M57</f>
        <v>427.61043976579055</v>
      </c>
      <c r="O57" s="209">
        <v>0</v>
      </c>
      <c r="P57" s="207">
        <f>O57*2.54</f>
        <v>0</v>
      </c>
      <c r="Q57" s="128">
        <f>F57*P57</f>
        <v>0</v>
      </c>
      <c r="R57" s="207">
        <f>K57*P57</f>
        <v>0</v>
      </c>
      <c r="S57" s="231"/>
      <c r="T57" s="231"/>
      <c r="U57" s="231"/>
      <c r="V57" s="232"/>
      <c r="W57" s="231"/>
      <c r="X57" s="231"/>
      <c r="Y57" s="231"/>
      <c r="Z57" s="231"/>
      <c r="AA57" s="231"/>
    </row>
    <row r="58" spans="1:27" s="124" customFormat="1" ht="16.5" customHeight="1">
      <c r="A58" s="184"/>
      <c r="B58" s="213"/>
      <c r="C58" s="234"/>
      <c r="D58" s="235"/>
      <c r="E58" s="236"/>
      <c r="F58" s="237"/>
      <c r="G58" s="238"/>
      <c r="H58" s="239"/>
      <c r="I58" s="184"/>
      <c r="J58" s="188"/>
      <c r="K58" s="240"/>
      <c r="L58" s="187"/>
      <c r="M58" s="239"/>
      <c r="N58" s="240"/>
      <c r="O58" s="241"/>
      <c r="P58" s="240"/>
      <c r="Q58" s="240"/>
      <c r="R58" s="240"/>
      <c r="S58" s="194"/>
      <c r="T58" s="194"/>
      <c r="U58" s="194"/>
      <c r="V58" s="195"/>
      <c r="W58" s="194"/>
      <c r="X58" s="194"/>
      <c r="Y58" s="194"/>
      <c r="Z58" s="194"/>
      <c r="AA58" s="194"/>
    </row>
    <row r="59" spans="1:27" s="124" customFormat="1" ht="16.5" customHeight="1">
      <c r="A59" s="101">
        <v>1</v>
      </c>
      <c r="B59" s="124" t="s">
        <v>217</v>
      </c>
      <c r="C59" s="242">
        <v>55494</v>
      </c>
      <c r="D59" s="243"/>
      <c r="E59" s="244"/>
      <c r="F59" s="245"/>
      <c r="G59" s="246"/>
      <c r="H59" s="194"/>
      <c r="I59" s="101"/>
      <c r="J59" s="181"/>
      <c r="K59" s="195"/>
      <c r="L59" s="180"/>
      <c r="M59" s="194"/>
      <c r="N59" s="195"/>
      <c r="O59" s="247"/>
      <c r="P59" s="195"/>
      <c r="Q59" s="195"/>
      <c r="R59" s="195"/>
      <c r="S59" s="194"/>
      <c r="T59" s="194"/>
      <c r="U59" s="194"/>
      <c r="V59" s="195"/>
      <c r="W59" s="194"/>
      <c r="X59" s="194"/>
      <c r="Y59" s="194"/>
      <c r="Z59" s="194"/>
      <c r="AA59" s="194"/>
    </row>
    <row r="60" spans="1:27" s="124" customFormat="1" ht="16.5" customHeight="1">
      <c r="A60" s="101"/>
      <c r="B60" s="6" t="s">
        <v>218</v>
      </c>
      <c r="C60" s="230">
        <f>SUM(F62:F75)</f>
        <v>11015.2</v>
      </c>
      <c r="D60" s="175" t="s">
        <v>126</v>
      </c>
      <c r="E60" s="197" t="s">
        <v>312</v>
      </c>
      <c r="F60" s="245"/>
      <c r="G60" s="246"/>
      <c r="H60" s="194"/>
      <c r="J60" s="181"/>
      <c r="L60" s="180"/>
      <c r="M60" s="194"/>
      <c r="N60" s="195"/>
      <c r="O60" s="247"/>
      <c r="P60" s="195"/>
      <c r="Q60" s="195"/>
      <c r="R60" s="195"/>
      <c r="S60" s="194"/>
      <c r="T60" s="194"/>
      <c r="U60" s="194"/>
      <c r="V60" s="195"/>
      <c r="W60" s="194"/>
      <c r="X60" s="194"/>
      <c r="Y60" s="194"/>
      <c r="Z60" s="194"/>
      <c r="AA60" s="194"/>
    </row>
    <row r="61" spans="1:32" s="250" customFormat="1" ht="16.5" customHeight="1">
      <c r="A61" s="248"/>
      <c r="B61" s="130" t="s">
        <v>207</v>
      </c>
      <c r="C61" s="206">
        <v>11026</v>
      </c>
      <c r="D61" s="249" t="s">
        <v>126</v>
      </c>
      <c r="E61" s="199">
        <f>C61-C60</f>
        <v>10.799999999999272</v>
      </c>
      <c r="I61" s="251"/>
      <c r="O61" s="252"/>
      <c r="S61" s="253"/>
      <c r="T61" s="254"/>
      <c r="U61" s="255"/>
      <c r="V61" s="203"/>
      <c r="W61" s="256"/>
      <c r="X61" s="257"/>
      <c r="Y61" s="258"/>
      <c r="Z61" s="259"/>
      <c r="AA61" s="203"/>
      <c r="AB61" s="256"/>
      <c r="AC61" s="260"/>
      <c r="AD61" s="207"/>
      <c r="AE61" s="128"/>
      <c r="AF61" s="207"/>
    </row>
    <row r="62" spans="1:22" s="263" customFormat="1" ht="16.5" customHeight="1">
      <c r="A62" s="261">
        <v>2</v>
      </c>
      <c r="B62" s="105" t="s">
        <v>219</v>
      </c>
      <c r="C62" s="103">
        <v>49897</v>
      </c>
      <c r="D62" s="200">
        <v>1</v>
      </c>
      <c r="E62" s="206">
        <v>5600.1</v>
      </c>
      <c r="F62" s="207">
        <f aca="true" t="shared" si="0" ref="F62:F75">E62*D62</f>
        <v>5600.1</v>
      </c>
      <c r="G62" s="262">
        <v>28.22</v>
      </c>
      <c r="H62" s="207">
        <f aca="true" t="shared" si="1" ref="H62:H75">G62*2.54</f>
        <v>71.6788</v>
      </c>
      <c r="I62" s="128">
        <f aca="true" t="shared" si="2" ref="I62:I75">F62*H62</f>
        <v>401408.44788</v>
      </c>
      <c r="J62" s="229">
        <f>E62/Fiberglass_Density</f>
        <v>3394.430498006808</v>
      </c>
      <c r="K62" s="128">
        <f aca="true" t="shared" si="3" ref="K62:K75">J62*D62</f>
        <v>3394.430498006808</v>
      </c>
      <c r="L62" s="230">
        <f aca="true" t="shared" si="4" ref="L62:L75">G62</f>
        <v>28.22</v>
      </c>
      <c r="M62" s="207">
        <f aca="true" t="shared" si="5" ref="M62:M75">L62*2.54</f>
        <v>71.6788</v>
      </c>
      <c r="N62" s="128">
        <f aca="true" t="shared" si="6" ref="N62:N75">K62*M62</f>
        <v>243308.7047805304</v>
      </c>
      <c r="O62" s="209">
        <v>0</v>
      </c>
      <c r="P62" s="207">
        <f aca="true" t="shared" si="7" ref="P62:P75">O62*2.54</f>
        <v>0</v>
      </c>
      <c r="Q62" s="128">
        <f>E62*P62</f>
        <v>0</v>
      </c>
      <c r="R62" s="207">
        <f aca="true" t="shared" si="8" ref="R62:R75">K62*P62</f>
        <v>0</v>
      </c>
      <c r="S62" s="105"/>
      <c r="V62" s="264"/>
    </row>
    <row r="63" spans="1:22" s="263" customFormat="1" ht="33" customHeight="1">
      <c r="A63" s="261">
        <v>2</v>
      </c>
      <c r="B63" s="265" t="s">
        <v>220</v>
      </c>
      <c r="C63" s="103">
        <v>49834</v>
      </c>
      <c r="D63" s="200">
        <v>1</v>
      </c>
      <c r="E63" s="206">
        <v>694.7</v>
      </c>
      <c r="F63" s="207">
        <f t="shared" si="0"/>
        <v>694.7</v>
      </c>
      <c r="G63" s="228">
        <v>45.85</v>
      </c>
      <c r="H63" s="207">
        <f t="shared" si="1"/>
        <v>116.459</v>
      </c>
      <c r="I63" s="128">
        <f t="shared" si="2"/>
        <v>80904.06730000001</v>
      </c>
      <c r="J63" s="229">
        <f>E63/Alum_density</f>
        <v>256.06339845189825</v>
      </c>
      <c r="K63" s="128">
        <f t="shared" si="3"/>
        <v>256.06339845189825</v>
      </c>
      <c r="L63" s="230">
        <f t="shared" si="4"/>
        <v>45.85</v>
      </c>
      <c r="M63" s="207">
        <f t="shared" si="5"/>
        <v>116.459</v>
      </c>
      <c r="N63" s="128">
        <f t="shared" si="6"/>
        <v>29820.88732030962</v>
      </c>
      <c r="O63" s="209">
        <v>0</v>
      </c>
      <c r="P63" s="207">
        <f t="shared" si="7"/>
        <v>0</v>
      </c>
      <c r="Q63" s="128">
        <f aca="true" t="shared" si="9" ref="Q63:Q75">F63*P63</f>
        <v>0</v>
      </c>
      <c r="R63" s="207">
        <f t="shared" si="8"/>
        <v>0</v>
      </c>
      <c r="V63" s="264"/>
    </row>
    <row r="64" spans="1:27" s="266" customFormat="1" ht="16.5" customHeight="1">
      <c r="A64" s="103">
        <v>2</v>
      </c>
      <c r="B64" s="266" t="s">
        <v>386</v>
      </c>
      <c r="C64" s="261">
        <v>49844</v>
      </c>
      <c r="D64" s="200">
        <v>1</v>
      </c>
      <c r="E64" s="206">
        <v>1245.2</v>
      </c>
      <c r="F64" s="207">
        <f t="shared" si="0"/>
        <v>1245.2</v>
      </c>
      <c r="G64" s="228">
        <v>3.715</v>
      </c>
      <c r="H64" s="207">
        <f t="shared" si="1"/>
        <v>9.4361</v>
      </c>
      <c r="I64" s="128">
        <f t="shared" si="2"/>
        <v>11749.83172</v>
      </c>
      <c r="J64" s="229">
        <f>E64/Brass_Density</f>
        <v>147.97385620915034</v>
      </c>
      <c r="K64" s="128">
        <f t="shared" si="3"/>
        <v>147.97385620915034</v>
      </c>
      <c r="L64" s="230">
        <f t="shared" si="4"/>
        <v>3.715</v>
      </c>
      <c r="M64" s="230">
        <f t="shared" si="5"/>
        <v>9.4361</v>
      </c>
      <c r="N64" s="128">
        <f t="shared" si="6"/>
        <v>1396.2961045751636</v>
      </c>
      <c r="O64" s="209">
        <v>0</v>
      </c>
      <c r="P64" s="207">
        <f t="shared" si="7"/>
        <v>0</v>
      </c>
      <c r="Q64" s="128">
        <f t="shared" si="9"/>
        <v>0</v>
      </c>
      <c r="R64" s="207">
        <f t="shared" si="8"/>
        <v>0</v>
      </c>
      <c r="S64" s="105"/>
      <c r="T64" s="105"/>
      <c r="U64" s="105"/>
      <c r="V64" s="128"/>
      <c r="W64" s="105"/>
      <c r="X64" s="105"/>
      <c r="Y64" s="105"/>
      <c r="Z64" s="105"/>
      <c r="AA64" s="105"/>
    </row>
    <row r="65" spans="1:27" s="266" customFormat="1" ht="16.5" customHeight="1">
      <c r="A65" s="103">
        <v>2</v>
      </c>
      <c r="B65" s="267" t="s">
        <v>387</v>
      </c>
      <c r="C65" s="261">
        <v>55448</v>
      </c>
      <c r="D65" s="200">
        <v>1</v>
      </c>
      <c r="E65" s="206">
        <f>741.4</f>
        <v>741.4</v>
      </c>
      <c r="F65" s="207">
        <f t="shared" si="0"/>
        <v>741.4</v>
      </c>
      <c r="G65" s="228">
        <v>3.715</v>
      </c>
      <c r="H65" s="207">
        <f t="shared" si="1"/>
        <v>9.4361</v>
      </c>
      <c r="I65" s="128">
        <f t="shared" si="2"/>
        <v>6995.92454</v>
      </c>
      <c r="J65" s="229">
        <f>E65/Brass_Density</f>
        <v>88.10457516339869</v>
      </c>
      <c r="K65" s="128">
        <f t="shared" si="3"/>
        <v>88.10457516339869</v>
      </c>
      <c r="L65" s="230">
        <f t="shared" si="4"/>
        <v>3.715</v>
      </c>
      <c r="M65" s="230">
        <f t="shared" si="5"/>
        <v>9.4361</v>
      </c>
      <c r="N65" s="128">
        <f t="shared" si="6"/>
        <v>831.3635816993464</v>
      </c>
      <c r="O65" s="209">
        <v>0</v>
      </c>
      <c r="P65" s="207">
        <f t="shared" si="7"/>
        <v>0</v>
      </c>
      <c r="Q65" s="128">
        <f t="shared" si="9"/>
        <v>0</v>
      </c>
      <c r="R65" s="207">
        <f t="shared" si="8"/>
        <v>0</v>
      </c>
      <c r="S65" s="105"/>
      <c r="T65" s="105"/>
      <c r="U65" s="105"/>
      <c r="V65" s="128"/>
      <c r="W65" s="105"/>
      <c r="X65" s="105"/>
      <c r="Y65" s="105"/>
      <c r="Z65" s="105"/>
      <c r="AA65" s="105"/>
    </row>
    <row r="66" spans="1:22" s="263" customFormat="1" ht="34.5" customHeight="1">
      <c r="A66" s="261">
        <v>2</v>
      </c>
      <c r="B66" s="268" t="s">
        <v>388</v>
      </c>
      <c r="C66" s="269" t="s">
        <v>389</v>
      </c>
      <c r="D66" s="200">
        <v>0</v>
      </c>
      <c r="E66" s="206">
        <v>28.5</v>
      </c>
      <c r="F66" s="207">
        <f t="shared" si="0"/>
        <v>0</v>
      </c>
      <c r="G66" s="228">
        <v>3.715</v>
      </c>
      <c r="H66" s="207">
        <f t="shared" si="1"/>
        <v>9.4361</v>
      </c>
      <c r="I66" s="128">
        <f t="shared" si="2"/>
        <v>0</v>
      </c>
      <c r="J66" s="229">
        <f>E66/SS_Density</f>
        <v>3.5505170051077615</v>
      </c>
      <c r="K66" s="128">
        <f t="shared" si="3"/>
        <v>0</v>
      </c>
      <c r="L66" s="230">
        <f t="shared" si="4"/>
        <v>3.715</v>
      </c>
      <c r="M66" s="207">
        <f t="shared" si="5"/>
        <v>9.4361</v>
      </c>
      <c r="N66" s="128">
        <f t="shared" si="6"/>
        <v>0</v>
      </c>
      <c r="O66" s="209">
        <v>0</v>
      </c>
      <c r="P66" s="207">
        <f t="shared" si="7"/>
        <v>0</v>
      </c>
      <c r="Q66" s="128">
        <f t="shared" si="9"/>
        <v>0</v>
      </c>
      <c r="R66" s="207">
        <f t="shared" si="8"/>
        <v>0</v>
      </c>
      <c r="V66" s="264"/>
    </row>
    <row r="67" spans="1:22" s="263" customFormat="1" ht="34.5" customHeight="1">
      <c r="A67" s="261">
        <v>2</v>
      </c>
      <c r="B67" s="268" t="s">
        <v>390</v>
      </c>
      <c r="C67" s="269" t="s">
        <v>391</v>
      </c>
      <c r="D67" s="200">
        <v>1</v>
      </c>
      <c r="E67" s="206">
        <v>23.5</v>
      </c>
      <c r="F67" s="207">
        <f t="shared" si="0"/>
        <v>23.5</v>
      </c>
      <c r="G67" s="228">
        <v>3.715</v>
      </c>
      <c r="H67" s="207">
        <f t="shared" si="1"/>
        <v>9.4361</v>
      </c>
      <c r="I67" s="128">
        <f t="shared" si="2"/>
        <v>221.74835</v>
      </c>
      <c r="J67" s="229">
        <f>E67/SS_Density</f>
        <v>2.9276192849134173</v>
      </c>
      <c r="K67" s="128">
        <f t="shared" si="3"/>
        <v>2.9276192849134173</v>
      </c>
      <c r="L67" s="230">
        <f t="shared" si="4"/>
        <v>3.715</v>
      </c>
      <c r="M67" s="207">
        <f t="shared" si="5"/>
        <v>9.4361</v>
      </c>
      <c r="N67" s="128">
        <f t="shared" si="6"/>
        <v>27.625308334371496</v>
      </c>
      <c r="O67" s="209">
        <v>0</v>
      </c>
      <c r="P67" s="207">
        <f t="shared" si="7"/>
        <v>0</v>
      </c>
      <c r="Q67" s="128">
        <f t="shared" si="9"/>
        <v>0</v>
      </c>
      <c r="R67" s="207">
        <f t="shared" si="8"/>
        <v>0</v>
      </c>
      <c r="V67" s="264"/>
    </row>
    <row r="68" spans="1:22" s="263" customFormat="1" ht="34.5" customHeight="1">
      <c r="A68" s="261">
        <v>2</v>
      </c>
      <c r="B68" s="268" t="s">
        <v>392</v>
      </c>
      <c r="C68" s="269" t="s">
        <v>393</v>
      </c>
      <c r="D68" s="200">
        <v>0</v>
      </c>
      <c r="E68" s="206">
        <v>15.5</v>
      </c>
      <c r="F68" s="207">
        <f t="shared" si="0"/>
        <v>0</v>
      </c>
      <c r="G68" s="228">
        <v>3.715</v>
      </c>
      <c r="H68" s="207">
        <f t="shared" si="1"/>
        <v>9.4361</v>
      </c>
      <c r="I68" s="128">
        <f t="shared" si="2"/>
        <v>0</v>
      </c>
      <c r="J68" s="229">
        <f>E68/SS_Density</f>
        <v>1.9309829326024668</v>
      </c>
      <c r="K68" s="128">
        <f t="shared" si="3"/>
        <v>0</v>
      </c>
      <c r="L68" s="230">
        <f t="shared" si="4"/>
        <v>3.715</v>
      </c>
      <c r="M68" s="207">
        <f t="shared" si="5"/>
        <v>9.4361</v>
      </c>
      <c r="N68" s="128">
        <f t="shared" si="6"/>
        <v>0</v>
      </c>
      <c r="O68" s="209">
        <v>0</v>
      </c>
      <c r="P68" s="207">
        <f t="shared" si="7"/>
        <v>0</v>
      </c>
      <c r="Q68" s="128">
        <f t="shared" si="9"/>
        <v>0</v>
      </c>
      <c r="R68" s="207">
        <f t="shared" si="8"/>
        <v>0</v>
      </c>
      <c r="V68" s="264"/>
    </row>
    <row r="69" spans="1:27" s="266" customFormat="1" ht="16.5" customHeight="1">
      <c r="A69" s="103">
        <v>2</v>
      </c>
      <c r="B69" s="270" t="s">
        <v>394</v>
      </c>
      <c r="C69" s="271" t="s">
        <v>395</v>
      </c>
      <c r="D69" s="200">
        <v>1</v>
      </c>
      <c r="E69" s="573">
        <v>1217.5</v>
      </c>
      <c r="F69" s="207">
        <f t="shared" si="0"/>
        <v>1217.5</v>
      </c>
      <c r="G69" s="260">
        <v>41.7</v>
      </c>
      <c r="H69" s="203">
        <f t="shared" si="1"/>
        <v>105.918</v>
      </c>
      <c r="I69" s="256">
        <f t="shared" si="2"/>
        <v>128955.16500000001</v>
      </c>
      <c r="J69" s="229">
        <f>E69/Lead_Density</f>
        <v>107.78151558073655</v>
      </c>
      <c r="K69" s="256">
        <f t="shared" si="3"/>
        <v>107.78151558073655</v>
      </c>
      <c r="L69" s="120">
        <f t="shared" si="4"/>
        <v>41.7</v>
      </c>
      <c r="M69" s="120">
        <f t="shared" si="5"/>
        <v>105.918</v>
      </c>
      <c r="N69" s="256">
        <f t="shared" si="6"/>
        <v>11416.002567280455</v>
      </c>
      <c r="O69" s="209">
        <v>-5.62</v>
      </c>
      <c r="P69" s="203">
        <f t="shared" si="7"/>
        <v>-14.2748</v>
      </c>
      <c r="Q69" s="256">
        <f t="shared" si="9"/>
        <v>-17379.569</v>
      </c>
      <c r="R69" s="207">
        <f t="shared" si="8"/>
        <v>-1538.5595786118981</v>
      </c>
      <c r="S69" s="108"/>
      <c r="T69" s="108"/>
      <c r="U69" s="105"/>
      <c r="V69" s="128"/>
      <c r="W69" s="105"/>
      <c r="X69" s="105"/>
      <c r="Y69" s="105"/>
      <c r="Z69" s="105"/>
      <c r="AA69" s="105"/>
    </row>
    <row r="70" spans="1:27" s="266" customFormat="1" ht="16.5" customHeight="1">
      <c r="A70" s="103">
        <v>2</v>
      </c>
      <c r="B70" s="270" t="s">
        <v>396</v>
      </c>
      <c r="C70" s="271" t="s">
        <v>397</v>
      </c>
      <c r="D70" s="200">
        <v>1</v>
      </c>
      <c r="E70" s="573">
        <v>233.4</v>
      </c>
      <c r="F70" s="203">
        <f t="shared" si="0"/>
        <v>233.4</v>
      </c>
      <c r="G70" s="260">
        <v>41.7</v>
      </c>
      <c r="H70" s="203">
        <f t="shared" si="1"/>
        <v>105.918</v>
      </c>
      <c r="I70" s="256">
        <f t="shared" si="2"/>
        <v>24721.2612</v>
      </c>
      <c r="J70" s="229">
        <f>E70/Lead_Density</f>
        <v>20.66218130311615</v>
      </c>
      <c r="K70" s="256">
        <f t="shared" si="3"/>
        <v>20.66218130311615</v>
      </c>
      <c r="L70" s="120">
        <f t="shared" si="4"/>
        <v>41.7</v>
      </c>
      <c r="M70" s="120">
        <f t="shared" si="5"/>
        <v>105.918</v>
      </c>
      <c r="N70" s="256">
        <f t="shared" si="6"/>
        <v>2188.496919263456</v>
      </c>
      <c r="O70" s="209">
        <v>0</v>
      </c>
      <c r="P70" s="203">
        <f t="shared" si="7"/>
        <v>0</v>
      </c>
      <c r="Q70" s="256">
        <f t="shared" si="9"/>
        <v>0</v>
      </c>
      <c r="R70" s="207">
        <f t="shared" si="8"/>
        <v>0</v>
      </c>
      <c r="S70" s="108"/>
      <c r="T70" s="108"/>
      <c r="U70" s="105"/>
      <c r="V70" s="128"/>
      <c r="W70" s="105"/>
      <c r="X70" s="105"/>
      <c r="Y70" s="105"/>
      <c r="Z70" s="105"/>
      <c r="AA70" s="105"/>
    </row>
    <row r="71" spans="1:27" s="266" customFormat="1" ht="16.5" customHeight="1">
      <c r="A71" s="103">
        <v>2</v>
      </c>
      <c r="B71" s="270" t="s">
        <v>398</v>
      </c>
      <c r="C71" s="271" t="s">
        <v>397</v>
      </c>
      <c r="D71" s="200">
        <v>1</v>
      </c>
      <c r="E71" s="573">
        <v>381.1</v>
      </c>
      <c r="F71" s="203">
        <f t="shared" si="0"/>
        <v>381.1</v>
      </c>
      <c r="G71" s="260">
        <v>41.7</v>
      </c>
      <c r="H71" s="203">
        <f t="shared" si="1"/>
        <v>105.918</v>
      </c>
      <c r="I71" s="256">
        <f t="shared" si="2"/>
        <v>40365.3498</v>
      </c>
      <c r="J71" s="229">
        <f>E71/Lead_Density</f>
        <v>33.737606232294624</v>
      </c>
      <c r="K71" s="256">
        <f t="shared" si="3"/>
        <v>33.737606232294624</v>
      </c>
      <c r="L71" s="120">
        <f t="shared" si="4"/>
        <v>41.7</v>
      </c>
      <c r="M71" s="120">
        <f t="shared" si="5"/>
        <v>105.918</v>
      </c>
      <c r="N71" s="256">
        <f t="shared" si="6"/>
        <v>3573.419776912182</v>
      </c>
      <c r="O71" s="209">
        <v>0</v>
      </c>
      <c r="P71" s="203">
        <f t="shared" si="7"/>
        <v>0</v>
      </c>
      <c r="Q71" s="256">
        <f t="shared" si="9"/>
        <v>0</v>
      </c>
      <c r="R71" s="207">
        <f t="shared" si="8"/>
        <v>0</v>
      </c>
      <c r="S71" s="108"/>
      <c r="T71" s="108"/>
      <c r="U71" s="105"/>
      <c r="V71" s="128"/>
      <c r="W71" s="105"/>
      <c r="X71" s="105"/>
      <c r="Y71" s="105"/>
      <c r="Z71" s="105"/>
      <c r="AA71" s="105"/>
    </row>
    <row r="72" spans="1:27" s="266" customFormat="1" ht="16.5" customHeight="1">
      <c r="A72" s="103">
        <v>2</v>
      </c>
      <c r="B72" s="270" t="s">
        <v>399</v>
      </c>
      <c r="C72" s="271" t="s">
        <v>397</v>
      </c>
      <c r="D72" s="200">
        <v>1</v>
      </c>
      <c r="E72" s="573">
        <v>476.1</v>
      </c>
      <c r="F72" s="203">
        <f t="shared" si="0"/>
        <v>476.1</v>
      </c>
      <c r="G72" s="260">
        <v>41.7</v>
      </c>
      <c r="H72" s="203">
        <f t="shared" si="1"/>
        <v>105.918</v>
      </c>
      <c r="I72" s="256">
        <f t="shared" si="2"/>
        <v>50427.5598</v>
      </c>
      <c r="J72" s="229">
        <f>E72/Lead_Density</f>
        <v>42.147662889518415</v>
      </c>
      <c r="K72" s="256">
        <f t="shared" si="3"/>
        <v>42.147662889518415</v>
      </c>
      <c r="L72" s="120">
        <f t="shared" si="4"/>
        <v>41.7</v>
      </c>
      <c r="M72" s="120">
        <f t="shared" si="5"/>
        <v>105.918</v>
      </c>
      <c r="N72" s="256">
        <f t="shared" si="6"/>
        <v>4464.196157932011</v>
      </c>
      <c r="O72" s="209">
        <v>5.62</v>
      </c>
      <c r="P72" s="203">
        <f t="shared" si="7"/>
        <v>14.2748</v>
      </c>
      <c r="Q72" s="256">
        <f t="shared" si="9"/>
        <v>6796.232280000001</v>
      </c>
      <c r="R72" s="207">
        <f t="shared" si="8"/>
        <v>601.6494582152975</v>
      </c>
      <c r="S72" s="108"/>
      <c r="T72" s="108"/>
      <c r="U72" s="105"/>
      <c r="V72" s="128"/>
      <c r="W72" s="105"/>
      <c r="X72" s="105"/>
      <c r="Y72" s="105"/>
      <c r="Z72" s="105"/>
      <c r="AA72" s="105"/>
    </row>
    <row r="73" spans="1:27" s="266" customFormat="1" ht="16.5" customHeight="1">
      <c r="A73" s="103">
        <v>2</v>
      </c>
      <c r="B73" s="270" t="s">
        <v>400</v>
      </c>
      <c r="C73" s="271" t="s">
        <v>401</v>
      </c>
      <c r="D73" s="200">
        <v>1</v>
      </c>
      <c r="E73" s="573">
        <v>18.5</v>
      </c>
      <c r="F73" s="203">
        <f t="shared" si="0"/>
        <v>18.5</v>
      </c>
      <c r="G73" s="260">
        <v>41.7</v>
      </c>
      <c r="H73" s="203">
        <f t="shared" si="1"/>
        <v>105.918</v>
      </c>
      <c r="I73" s="256">
        <f t="shared" si="2"/>
        <v>1959.4830000000002</v>
      </c>
      <c r="J73" s="229">
        <f>E73/Polypropylene_Density</f>
        <v>20.555555555555554</v>
      </c>
      <c r="K73" s="256">
        <f t="shared" si="3"/>
        <v>20.555555555555554</v>
      </c>
      <c r="L73" s="120">
        <f t="shared" si="4"/>
        <v>41.7</v>
      </c>
      <c r="M73" s="120">
        <f t="shared" si="5"/>
        <v>105.918</v>
      </c>
      <c r="N73" s="256">
        <f t="shared" si="6"/>
        <v>2177.2033333333334</v>
      </c>
      <c r="O73" s="209">
        <v>0</v>
      </c>
      <c r="P73" s="203">
        <f t="shared" si="7"/>
        <v>0</v>
      </c>
      <c r="Q73" s="256">
        <f t="shared" si="9"/>
        <v>0</v>
      </c>
      <c r="R73" s="207">
        <f t="shared" si="8"/>
        <v>0</v>
      </c>
      <c r="S73" s="108"/>
      <c r="T73" s="108"/>
      <c r="U73" s="105"/>
      <c r="V73" s="128"/>
      <c r="W73" s="105"/>
      <c r="X73" s="105"/>
      <c r="Y73" s="105"/>
      <c r="Z73" s="105"/>
      <c r="AA73" s="105"/>
    </row>
    <row r="74" spans="1:256" ht="15">
      <c r="A74" s="10">
        <v>2</v>
      </c>
      <c r="B74" s="270" t="s">
        <v>402</v>
      </c>
      <c r="C74" s="271" t="s">
        <v>397</v>
      </c>
      <c r="D74" s="200">
        <v>1</v>
      </c>
      <c r="E74" s="573">
        <v>379.7</v>
      </c>
      <c r="F74" s="203">
        <f t="shared" si="0"/>
        <v>379.7</v>
      </c>
      <c r="G74" s="260">
        <v>24.5</v>
      </c>
      <c r="H74" s="203">
        <f t="shared" si="1"/>
        <v>62.230000000000004</v>
      </c>
      <c r="I74" s="256">
        <f t="shared" si="2"/>
        <v>23628.731</v>
      </c>
      <c r="J74" s="229">
        <f>E74/Lead_Density</f>
        <v>33.61366855524079</v>
      </c>
      <c r="K74" s="256">
        <f t="shared" si="3"/>
        <v>33.61366855524079</v>
      </c>
      <c r="L74" s="120">
        <f t="shared" si="4"/>
        <v>24.5</v>
      </c>
      <c r="M74" s="120">
        <f t="shared" si="5"/>
        <v>62.230000000000004</v>
      </c>
      <c r="N74" s="256">
        <f t="shared" si="6"/>
        <v>2091.7785941926345</v>
      </c>
      <c r="O74" s="209">
        <v>-4.6</v>
      </c>
      <c r="P74" s="203">
        <f t="shared" si="7"/>
        <v>-11.684</v>
      </c>
      <c r="Q74" s="256">
        <f t="shared" si="9"/>
        <v>-4436.4148</v>
      </c>
      <c r="R74" s="207">
        <f t="shared" si="8"/>
        <v>-392.7421033994334</v>
      </c>
      <c r="S74"/>
      <c r="T74"/>
      <c r="U74"/>
      <c r="V74" s="1"/>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7" s="266" customFormat="1" ht="16.5" customHeight="1">
      <c r="A75" s="103">
        <v>2</v>
      </c>
      <c r="B75" s="267" t="s">
        <v>403</v>
      </c>
      <c r="C75" s="271" t="s">
        <v>401</v>
      </c>
      <c r="D75" s="200">
        <v>1</v>
      </c>
      <c r="E75" s="573">
        <v>4</v>
      </c>
      <c r="F75" s="203">
        <f t="shared" si="0"/>
        <v>4</v>
      </c>
      <c r="G75" s="260">
        <v>24.5</v>
      </c>
      <c r="H75" s="203">
        <f t="shared" si="1"/>
        <v>62.230000000000004</v>
      </c>
      <c r="I75" s="256">
        <f t="shared" si="2"/>
        <v>248.92000000000002</v>
      </c>
      <c r="J75" s="229">
        <f>E75/Polypropylene_Density</f>
        <v>4.444444444444445</v>
      </c>
      <c r="K75" s="256">
        <f t="shared" si="3"/>
        <v>4.444444444444445</v>
      </c>
      <c r="L75" s="120">
        <f t="shared" si="4"/>
        <v>24.5</v>
      </c>
      <c r="M75" s="120">
        <f t="shared" si="5"/>
        <v>62.230000000000004</v>
      </c>
      <c r="N75" s="256">
        <f t="shared" si="6"/>
        <v>276.5777777777778</v>
      </c>
      <c r="O75" s="209">
        <v>-4.6</v>
      </c>
      <c r="P75" s="203">
        <f t="shared" si="7"/>
        <v>-11.684</v>
      </c>
      <c r="Q75" s="256">
        <f t="shared" si="9"/>
        <v>-46.736</v>
      </c>
      <c r="R75" s="207">
        <f t="shared" si="8"/>
        <v>-51.928888888888885</v>
      </c>
      <c r="S75" s="108"/>
      <c r="T75" s="108"/>
      <c r="U75" s="105"/>
      <c r="V75" s="128"/>
      <c r="W75" s="105"/>
      <c r="X75" s="105"/>
      <c r="Y75" s="105"/>
      <c r="Z75" s="105"/>
      <c r="AA75" s="105"/>
    </row>
    <row r="76" spans="1:27" s="266" customFormat="1" ht="16.5" customHeight="1">
      <c r="A76" s="103"/>
      <c r="B76" s="272" t="s">
        <v>404</v>
      </c>
      <c r="C76" s="273">
        <f>2795+445</f>
        <v>3240</v>
      </c>
      <c r="D76" s="200"/>
      <c r="E76" s="206"/>
      <c r="F76" s="203"/>
      <c r="G76" s="260"/>
      <c r="H76" s="203"/>
      <c r="I76" s="256"/>
      <c r="J76" s="229"/>
      <c r="K76" s="256"/>
      <c r="L76" s="120"/>
      <c r="M76" s="120"/>
      <c r="N76" s="256"/>
      <c r="O76" s="209"/>
      <c r="P76" s="203"/>
      <c r="Q76" s="256"/>
      <c r="R76" s="207"/>
      <c r="S76" s="108"/>
      <c r="T76" s="108"/>
      <c r="U76" s="105"/>
      <c r="V76" s="128"/>
      <c r="W76" s="105"/>
      <c r="X76" s="105"/>
      <c r="Y76" s="105"/>
      <c r="Z76" s="105"/>
      <c r="AA76" s="105"/>
    </row>
    <row r="77" spans="1:27" s="266" customFormat="1" ht="16.5" customHeight="1">
      <c r="A77" s="274"/>
      <c r="B77" s="275" t="s">
        <v>405</v>
      </c>
      <c r="C77" s="276">
        <f>SUM(F65:F75,F90:F91)</f>
        <v>3475.2</v>
      </c>
      <c r="D77" s="277">
        <f>C76-C77</f>
        <v>-235.19999999999982</v>
      </c>
      <c r="E77" s="278" t="s">
        <v>312</v>
      </c>
      <c r="F77" s="279"/>
      <c r="G77" s="280"/>
      <c r="H77" s="279"/>
      <c r="I77" s="281"/>
      <c r="J77" s="282"/>
      <c r="K77" s="281"/>
      <c r="L77" s="283"/>
      <c r="M77" s="283"/>
      <c r="N77" s="281"/>
      <c r="O77" s="284"/>
      <c r="P77" s="279"/>
      <c r="Q77" s="281"/>
      <c r="R77" s="279"/>
      <c r="S77" s="108"/>
      <c r="T77" s="108"/>
      <c r="U77" s="105"/>
      <c r="V77" s="128"/>
      <c r="W77" s="105"/>
      <c r="X77" s="105"/>
      <c r="Y77" s="105"/>
      <c r="Z77" s="105"/>
      <c r="AA77" s="105"/>
    </row>
    <row r="78" spans="1:27" s="124" customFormat="1" ht="16.5" customHeight="1">
      <c r="A78" s="101">
        <v>1</v>
      </c>
      <c r="B78" s="124" t="s">
        <v>406</v>
      </c>
      <c r="C78" s="101">
        <v>55497</v>
      </c>
      <c r="D78" s="243"/>
      <c r="E78" s="285"/>
      <c r="J78" s="286"/>
      <c r="O78" s="286"/>
      <c r="S78" s="194"/>
      <c r="T78" s="194"/>
      <c r="U78" s="194"/>
      <c r="V78" s="195"/>
      <c r="W78" s="194"/>
      <c r="X78" s="194"/>
      <c r="Y78" s="194"/>
      <c r="Z78" s="194"/>
      <c r="AA78" s="194"/>
    </row>
    <row r="79" spans="1:27" s="124" customFormat="1" ht="16.5" customHeight="1">
      <c r="A79" s="101"/>
      <c r="B79" s="6" t="s">
        <v>218</v>
      </c>
      <c r="C79" s="126">
        <f>SUM(F81:F117)</f>
        <v>5071.299999999999</v>
      </c>
      <c r="D79" s="175" t="s">
        <v>126</v>
      </c>
      <c r="E79" s="197" t="s">
        <v>312</v>
      </c>
      <c r="F79" s="126"/>
      <c r="G79" s="287"/>
      <c r="H79" s="193"/>
      <c r="J79" s="288"/>
      <c r="L79" s="289"/>
      <c r="M79" s="193"/>
      <c r="N79" s="195"/>
      <c r="O79" s="290"/>
      <c r="P79" s="193"/>
      <c r="Q79" s="195"/>
      <c r="R79" s="291"/>
      <c r="S79" s="194"/>
      <c r="T79" s="194"/>
      <c r="U79" s="194"/>
      <c r="V79" s="195"/>
      <c r="W79" s="194"/>
      <c r="X79" s="194"/>
      <c r="Y79" s="194"/>
      <c r="Z79" s="194"/>
      <c r="AA79" s="194"/>
    </row>
    <row r="80" spans="1:32" s="124" customFormat="1" ht="16.5" customHeight="1">
      <c r="A80" s="101"/>
      <c r="B80" s="6" t="s">
        <v>207</v>
      </c>
      <c r="C80" s="206">
        <v>4644.4</v>
      </c>
      <c r="D80" s="175" t="s">
        <v>126</v>
      </c>
      <c r="E80" s="199">
        <f>C80-C79</f>
        <v>-426.89999999999964</v>
      </c>
      <c r="I80" s="292"/>
      <c r="O80" s="286"/>
      <c r="S80"/>
      <c r="T80"/>
      <c r="U80"/>
      <c r="V80"/>
      <c r="W80"/>
      <c r="X80"/>
      <c r="Y80"/>
      <c r="Z80"/>
      <c r="AA80"/>
      <c r="AB80"/>
      <c r="AC80"/>
      <c r="AD80"/>
      <c r="AE80"/>
      <c r="AF80"/>
    </row>
    <row r="81" spans="1:27" s="266" customFormat="1" ht="16.5" customHeight="1">
      <c r="A81" s="103">
        <v>2</v>
      </c>
      <c r="B81" s="105" t="s">
        <v>407</v>
      </c>
      <c r="C81" s="269" t="s">
        <v>288</v>
      </c>
      <c r="D81" s="200">
        <v>1</v>
      </c>
      <c r="E81" s="206">
        <v>2464</v>
      </c>
      <c r="F81" s="207">
        <f aca="true" t="shared" si="10" ref="F81:F90">E81*D81</f>
        <v>2464</v>
      </c>
      <c r="G81" s="262">
        <v>54.37</v>
      </c>
      <c r="H81" s="207">
        <f aca="true" t="shared" si="11" ref="H81:H90">G81*2.54</f>
        <v>138.0998</v>
      </c>
      <c r="I81" s="128">
        <f aca="true" t="shared" si="12" ref="I81:I90">F81*H81</f>
        <v>340277.90719999996</v>
      </c>
      <c r="J81" s="229">
        <f>E81/Fiberglass_Density</f>
        <v>1493.522749073905</v>
      </c>
      <c r="K81" s="128">
        <f aca="true" t="shared" si="13" ref="K81:K90">J81*D81</f>
        <v>1493.522749073905</v>
      </c>
      <c r="L81" s="230">
        <f aca="true" t="shared" si="14" ref="L81:L90">G81</f>
        <v>54.37</v>
      </c>
      <c r="M81" s="207">
        <f aca="true" t="shared" si="15" ref="M81:M90">L81*2.54</f>
        <v>138.0998</v>
      </c>
      <c r="N81" s="128">
        <f aca="true" t="shared" si="16" ref="N81:N90">K81*M81</f>
        <v>206255.19294255646</v>
      </c>
      <c r="O81" s="209">
        <v>-0.02</v>
      </c>
      <c r="P81" s="207">
        <f aca="true" t="shared" si="17" ref="P81:P90">O81*2.54</f>
        <v>-0.050800000000000005</v>
      </c>
      <c r="Q81" s="128">
        <f aca="true" t="shared" si="18" ref="Q81:Q90">F81*P81</f>
        <v>-125.17120000000001</v>
      </c>
      <c r="R81" s="207">
        <f aca="true" t="shared" si="19" ref="R81:R90">K81*P81</f>
        <v>-75.87095565295438</v>
      </c>
      <c r="S81" s="105"/>
      <c r="T81" s="105"/>
      <c r="U81" s="105"/>
      <c r="V81" s="128"/>
      <c r="W81" s="105"/>
      <c r="X81" s="105"/>
      <c r="Y81" s="105"/>
      <c r="Z81" s="105"/>
      <c r="AA81" s="105"/>
    </row>
    <row r="82" spans="1:27" s="266" customFormat="1" ht="16.5" customHeight="1">
      <c r="A82" s="103">
        <v>2</v>
      </c>
      <c r="B82" s="266" t="s">
        <v>20</v>
      </c>
      <c r="C82" s="269"/>
      <c r="D82" s="200">
        <v>1</v>
      </c>
      <c r="E82" s="206">
        <v>680.5</v>
      </c>
      <c r="F82" s="207">
        <f>E82*D82</f>
        <v>680.5</v>
      </c>
      <c r="G82" s="228">
        <v>50.942</v>
      </c>
      <c r="H82" s="207">
        <f t="shared" si="11"/>
        <v>129.39268</v>
      </c>
      <c r="I82" s="128">
        <f>F82*H82</f>
        <v>88051.71874000001</v>
      </c>
      <c r="J82" s="229">
        <v>695</v>
      </c>
      <c r="K82" s="128">
        <f>J82*D82</f>
        <v>695</v>
      </c>
      <c r="L82" s="230">
        <f>G82</f>
        <v>50.942</v>
      </c>
      <c r="M82" s="207">
        <f t="shared" si="15"/>
        <v>129.39268</v>
      </c>
      <c r="N82" s="128">
        <f>K82*M82</f>
        <v>89927.91260000001</v>
      </c>
      <c r="O82" s="209">
        <v>0</v>
      </c>
      <c r="P82" s="207">
        <f t="shared" si="17"/>
        <v>0</v>
      </c>
      <c r="Q82" s="128">
        <f>F82*P82</f>
        <v>0</v>
      </c>
      <c r="R82" s="207">
        <f>K82*P82</f>
        <v>0</v>
      </c>
      <c r="S82" s="105"/>
      <c r="T82" s="105"/>
      <c r="U82" s="105"/>
      <c r="V82" s="128"/>
      <c r="W82" s="105"/>
      <c r="X82" s="105"/>
      <c r="Y82" s="105"/>
      <c r="Z82" s="105"/>
      <c r="AA82" s="105"/>
    </row>
    <row r="83" spans="1:27" s="266" customFormat="1" ht="16.5" customHeight="1">
      <c r="A83" s="103">
        <v>2</v>
      </c>
      <c r="B83" s="266" t="s">
        <v>21</v>
      </c>
      <c r="C83" s="269"/>
      <c r="D83" s="200">
        <v>1</v>
      </c>
      <c r="E83" s="206">
        <v>637.8</v>
      </c>
      <c r="F83" s="207">
        <f>E83*D83</f>
        <v>637.8</v>
      </c>
      <c r="G83" s="228">
        <v>50.942</v>
      </c>
      <c r="H83" s="207">
        <f t="shared" si="11"/>
        <v>129.39268</v>
      </c>
      <c r="I83" s="128">
        <f>F83*H83</f>
        <v>82526.651304</v>
      </c>
      <c r="J83" s="229">
        <v>695</v>
      </c>
      <c r="K83" s="128">
        <f>J83*D83</f>
        <v>695</v>
      </c>
      <c r="L83" s="230">
        <f>G83</f>
        <v>50.942</v>
      </c>
      <c r="M83" s="207">
        <f t="shared" si="15"/>
        <v>129.39268</v>
      </c>
      <c r="N83" s="128">
        <f>K83*M83</f>
        <v>89927.91260000001</v>
      </c>
      <c r="O83" s="209">
        <v>0</v>
      </c>
      <c r="P83" s="207">
        <f t="shared" si="17"/>
        <v>0</v>
      </c>
      <c r="Q83" s="128">
        <f>F83*P83</f>
        <v>0</v>
      </c>
      <c r="R83" s="207">
        <f>K83*P83</f>
        <v>0</v>
      </c>
      <c r="S83" s="105"/>
      <c r="T83" s="105"/>
      <c r="U83" s="105"/>
      <c r="V83" s="128"/>
      <c r="W83" s="105"/>
      <c r="X83" s="105"/>
      <c r="Y83" s="105"/>
      <c r="Z83" s="105"/>
      <c r="AA83" s="105"/>
    </row>
    <row r="84" spans="1:18" s="105" customFormat="1" ht="16.5" customHeight="1">
      <c r="A84" s="103">
        <v>2</v>
      </c>
      <c r="B84" s="266" t="s">
        <v>22</v>
      </c>
      <c r="C84" s="269">
        <v>49838</v>
      </c>
      <c r="D84" s="200">
        <v>0</v>
      </c>
      <c r="E84" s="206">
        <v>433.6</v>
      </c>
      <c r="F84" s="207">
        <f t="shared" si="10"/>
        <v>0</v>
      </c>
      <c r="G84" s="228">
        <v>50.942</v>
      </c>
      <c r="H84" s="207">
        <f t="shared" si="11"/>
        <v>129.39268</v>
      </c>
      <c r="I84" s="128">
        <f t="shared" si="12"/>
        <v>0</v>
      </c>
      <c r="J84" s="293">
        <v>504.7</v>
      </c>
      <c r="K84" s="128">
        <f t="shared" si="13"/>
        <v>0</v>
      </c>
      <c r="L84" s="230">
        <f t="shared" si="14"/>
        <v>50.942</v>
      </c>
      <c r="M84" s="207">
        <f t="shared" si="15"/>
        <v>129.39268</v>
      </c>
      <c r="N84" s="128">
        <f t="shared" si="16"/>
        <v>0</v>
      </c>
      <c r="O84" s="209">
        <v>0</v>
      </c>
      <c r="P84" s="207">
        <f t="shared" si="17"/>
        <v>0</v>
      </c>
      <c r="Q84" s="128">
        <f t="shared" si="18"/>
        <v>0</v>
      </c>
      <c r="R84" s="207">
        <f t="shared" si="19"/>
        <v>0</v>
      </c>
    </row>
    <row r="85" spans="1:18" s="105" customFormat="1" ht="16.5" customHeight="1">
      <c r="A85" s="103">
        <v>2</v>
      </c>
      <c r="B85" s="266" t="s">
        <v>23</v>
      </c>
      <c r="C85" s="269">
        <v>49838</v>
      </c>
      <c r="D85" s="200">
        <v>0</v>
      </c>
      <c r="E85" s="206">
        <v>447.1</v>
      </c>
      <c r="F85" s="207">
        <f t="shared" si="10"/>
        <v>0</v>
      </c>
      <c r="G85" s="228">
        <v>50.942</v>
      </c>
      <c r="H85" s="207">
        <f t="shared" si="11"/>
        <v>129.39268</v>
      </c>
      <c r="I85" s="128">
        <f t="shared" si="12"/>
        <v>0</v>
      </c>
      <c r="J85" s="293">
        <v>504.7</v>
      </c>
      <c r="K85" s="128">
        <f t="shared" si="13"/>
        <v>0</v>
      </c>
      <c r="L85" s="230">
        <f t="shared" si="14"/>
        <v>50.942</v>
      </c>
      <c r="M85" s="207">
        <f t="shared" si="15"/>
        <v>129.39268</v>
      </c>
      <c r="N85" s="128">
        <f t="shared" si="16"/>
        <v>0</v>
      </c>
      <c r="O85" s="209">
        <v>0</v>
      </c>
      <c r="P85" s="207">
        <f t="shared" si="17"/>
        <v>0</v>
      </c>
      <c r="Q85" s="128">
        <f t="shared" si="18"/>
        <v>0</v>
      </c>
      <c r="R85" s="207">
        <f t="shared" si="19"/>
        <v>0</v>
      </c>
    </row>
    <row r="86" spans="1:27" s="233" customFormat="1" ht="16.5" customHeight="1">
      <c r="A86" s="103">
        <v>2</v>
      </c>
      <c r="B86" s="105" t="s">
        <v>289</v>
      </c>
      <c r="C86" s="269" t="s">
        <v>290</v>
      </c>
      <c r="D86" s="200">
        <v>1</v>
      </c>
      <c r="E86" s="206">
        <v>26.6</v>
      </c>
      <c r="F86" s="207">
        <f t="shared" si="10"/>
        <v>26.6</v>
      </c>
      <c r="G86" s="228">
        <v>50</v>
      </c>
      <c r="H86" s="207">
        <f t="shared" si="11"/>
        <v>127</v>
      </c>
      <c r="I86" s="128">
        <f t="shared" si="12"/>
        <v>3378.2000000000003</v>
      </c>
      <c r="J86" s="229">
        <f>E86/SS_Density</f>
        <v>3.313815871433911</v>
      </c>
      <c r="K86" s="128">
        <f t="shared" si="13"/>
        <v>3.313815871433911</v>
      </c>
      <c r="L86" s="230">
        <f t="shared" si="14"/>
        <v>50</v>
      </c>
      <c r="M86" s="207">
        <f t="shared" si="15"/>
        <v>127</v>
      </c>
      <c r="N86" s="128">
        <f t="shared" si="16"/>
        <v>420.8546156721067</v>
      </c>
      <c r="O86" s="209">
        <v>0</v>
      </c>
      <c r="P86" s="207">
        <f t="shared" si="17"/>
        <v>0</v>
      </c>
      <c r="Q86" s="128">
        <f t="shared" si="18"/>
        <v>0</v>
      </c>
      <c r="R86" s="207">
        <f t="shared" si="19"/>
        <v>0</v>
      </c>
      <c r="S86" s="231"/>
      <c r="T86" s="231"/>
      <c r="U86" s="231"/>
      <c r="V86" s="232"/>
      <c r="W86" s="231"/>
      <c r="X86" s="231"/>
      <c r="Y86" s="231"/>
      <c r="Z86" s="231"/>
      <c r="AA86" s="231"/>
    </row>
    <row r="87" spans="1:27" s="266" customFormat="1" ht="16.5" customHeight="1">
      <c r="A87" s="103">
        <v>2</v>
      </c>
      <c r="B87" s="266" t="s">
        <v>291</v>
      </c>
      <c r="C87" s="269">
        <v>49839</v>
      </c>
      <c r="D87" s="200">
        <v>1</v>
      </c>
      <c r="E87" s="206">
        <v>118.8</v>
      </c>
      <c r="F87" s="207">
        <f t="shared" si="10"/>
        <v>118.8</v>
      </c>
      <c r="G87" s="228">
        <v>67.578</v>
      </c>
      <c r="H87" s="207">
        <f t="shared" si="11"/>
        <v>171.64812</v>
      </c>
      <c r="I87" s="128">
        <f t="shared" si="12"/>
        <v>20391.796656</v>
      </c>
      <c r="J87" s="229">
        <f>E87/Material!B14</f>
        <v>98.18181818181819</v>
      </c>
      <c r="K87" s="128">
        <f t="shared" si="13"/>
        <v>98.18181818181819</v>
      </c>
      <c r="L87" s="230">
        <f t="shared" si="14"/>
        <v>67.578</v>
      </c>
      <c r="M87" s="207">
        <f t="shared" si="15"/>
        <v>171.64812</v>
      </c>
      <c r="N87" s="128">
        <f t="shared" si="16"/>
        <v>16852.72450909091</v>
      </c>
      <c r="O87" s="209">
        <v>0</v>
      </c>
      <c r="P87" s="207">
        <f t="shared" si="17"/>
        <v>0</v>
      </c>
      <c r="Q87" s="128">
        <f t="shared" si="18"/>
        <v>0</v>
      </c>
      <c r="R87" s="207">
        <f t="shared" si="19"/>
        <v>0</v>
      </c>
      <c r="S87" s="105"/>
      <c r="T87" s="105"/>
      <c r="U87" s="105"/>
      <c r="V87" s="128"/>
      <c r="W87" s="105"/>
      <c r="X87" s="105"/>
      <c r="Y87" s="105"/>
      <c r="Z87" s="105"/>
      <c r="AA87" s="105"/>
    </row>
    <row r="88" spans="1:27" s="266" customFormat="1" ht="16.5" customHeight="1">
      <c r="A88" s="103">
        <v>2</v>
      </c>
      <c r="B88" s="294" t="s">
        <v>292</v>
      </c>
      <c r="C88" s="295"/>
      <c r="D88" s="200">
        <v>1</v>
      </c>
      <c r="E88" s="206">
        <v>20.3</v>
      </c>
      <c r="F88" s="203">
        <f t="shared" si="10"/>
        <v>20.3</v>
      </c>
      <c r="G88" s="260">
        <v>67.75</v>
      </c>
      <c r="H88" s="203">
        <f t="shared" si="11"/>
        <v>172.085</v>
      </c>
      <c r="I88" s="256">
        <f t="shared" si="12"/>
        <v>3493.3255000000004</v>
      </c>
      <c r="J88" s="229">
        <f>E88/SS_Density</f>
        <v>2.5289647439890373</v>
      </c>
      <c r="K88" s="256">
        <f t="shared" si="13"/>
        <v>2.5289647439890373</v>
      </c>
      <c r="L88" s="120">
        <f t="shared" si="14"/>
        <v>67.75</v>
      </c>
      <c r="M88" s="203">
        <f t="shared" si="15"/>
        <v>172.085</v>
      </c>
      <c r="N88" s="128">
        <f t="shared" si="16"/>
        <v>435.1968979693535</v>
      </c>
      <c r="O88" s="209">
        <v>0</v>
      </c>
      <c r="P88" s="203">
        <f t="shared" si="17"/>
        <v>0</v>
      </c>
      <c r="Q88" s="256">
        <f t="shared" si="18"/>
        <v>0</v>
      </c>
      <c r="R88" s="207">
        <f t="shared" si="19"/>
        <v>0</v>
      </c>
      <c r="S88" s="296"/>
      <c r="T88" s="297"/>
      <c r="U88" s="105"/>
      <c r="V88" s="128"/>
      <c r="W88" s="105"/>
      <c r="X88" s="105"/>
      <c r="Y88" s="105"/>
      <c r="Z88" s="105"/>
      <c r="AA88" s="105"/>
    </row>
    <row r="89" spans="1:27" s="266" customFormat="1" ht="16.5" customHeight="1">
      <c r="A89" s="103">
        <v>2</v>
      </c>
      <c r="B89" s="267" t="s">
        <v>293</v>
      </c>
      <c r="C89" s="271" t="s">
        <v>395</v>
      </c>
      <c r="D89" s="200">
        <v>0</v>
      </c>
      <c r="E89" s="206">
        <v>0</v>
      </c>
      <c r="F89" s="203">
        <f t="shared" si="10"/>
        <v>0</v>
      </c>
      <c r="G89" s="260">
        <v>62.2</v>
      </c>
      <c r="H89" s="203">
        <f t="shared" si="11"/>
        <v>157.988</v>
      </c>
      <c r="I89" s="256">
        <f t="shared" si="12"/>
        <v>0</v>
      </c>
      <c r="J89" s="229">
        <f>E89/Lead_Density</f>
        <v>0</v>
      </c>
      <c r="K89" s="256">
        <f t="shared" si="13"/>
        <v>0</v>
      </c>
      <c r="L89" s="120">
        <f t="shared" si="14"/>
        <v>62.2</v>
      </c>
      <c r="M89" s="120">
        <f t="shared" si="15"/>
        <v>157.988</v>
      </c>
      <c r="N89" s="256">
        <f t="shared" si="16"/>
        <v>0</v>
      </c>
      <c r="O89" s="209">
        <v>-1.65</v>
      </c>
      <c r="P89" s="203">
        <f t="shared" si="17"/>
        <v>-4.191</v>
      </c>
      <c r="Q89" s="256">
        <f t="shared" si="18"/>
        <v>0</v>
      </c>
      <c r="R89" s="207">
        <f t="shared" si="19"/>
        <v>0</v>
      </c>
      <c r="S89" s="108"/>
      <c r="T89" s="108"/>
      <c r="U89" s="105"/>
      <c r="V89" s="128"/>
      <c r="W89" s="105"/>
      <c r="X89" s="105"/>
      <c r="Y89" s="105"/>
      <c r="Z89" s="105"/>
      <c r="AA89" s="105"/>
    </row>
    <row r="90" spans="1:27" s="266" customFormat="1" ht="16.5" customHeight="1">
      <c r="A90" s="103">
        <v>2</v>
      </c>
      <c r="B90" s="270" t="s">
        <v>294</v>
      </c>
      <c r="C90" s="271" t="s">
        <v>401</v>
      </c>
      <c r="D90" s="200">
        <v>0</v>
      </c>
      <c r="E90" s="206">
        <v>0.5</v>
      </c>
      <c r="F90" s="203">
        <f t="shared" si="10"/>
        <v>0</v>
      </c>
      <c r="G90" s="260">
        <v>62.2</v>
      </c>
      <c r="H90" s="203">
        <f t="shared" si="11"/>
        <v>157.988</v>
      </c>
      <c r="I90" s="256">
        <f t="shared" si="12"/>
        <v>0</v>
      </c>
      <c r="J90" s="229">
        <f>E90/Polypropylene_Density</f>
        <v>0.5555555555555556</v>
      </c>
      <c r="K90" s="256">
        <f t="shared" si="13"/>
        <v>0</v>
      </c>
      <c r="L90" s="120">
        <f t="shared" si="14"/>
        <v>62.2</v>
      </c>
      <c r="M90" s="120">
        <f t="shared" si="15"/>
        <v>157.988</v>
      </c>
      <c r="N90" s="256">
        <f t="shared" si="16"/>
        <v>0</v>
      </c>
      <c r="O90" s="209">
        <v>-1.65</v>
      </c>
      <c r="P90" s="203">
        <f t="shared" si="17"/>
        <v>-4.191</v>
      </c>
      <c r="Q90" s="256">
        <f t="shared" si="18"/>
        <v>0</v>
      </c>
      <c r="R90" s="207">
        <f t="shared" si="19"/>
        <v>0</v>
      </c>
      <c r="S90" s="108"/>
      <c r="T90" s="108"/>
      <c r="U90" s="105"/>
      <c r="V90" s="128"/>
      <c r="W90" s="105"/>
      <c r="X90" s="105"/>
      <c r="Y90" s="105"/>
      <c r="Z90" s="105"/>
      <c r="AA90" s="105"/>
    </row>
    <row r="91" spans="1:27" s="95" customFormat="1" ht="16.5" customHeight="1">
      <c r="A91" s="92"/>
      <c r="B91" s="126"/>
      <c r="C91" s="10"/>
      <c r="D91" s="298"/>
      <c r="E91" s="206"/>
      <c r="G91" s="299"/>
      <c r="H91" s="126"/>
      <c r="I91" s="97"/>
      <c r="J91" s="300"/>
      <c r="K91" s="97"/>
      <c r="L91" s="301"/>
      <c r="M91" s="126"/>
      <c r="N91" s="97"/>
      <c r="O91" s="302"/>
      <c r="P91" s="126"/>
      <c r="Q91" s="97"/>
      <c r="R91" s="126"/>
      <c r="S91" s="93"/>
      <c r="T91" s="93"/>
      <c r="U91" s="93"/>
      <c r="V91" s="125"/>
      <c r="W91" s="93"/>
      <c r="X91" s="93"/>
      <c r="Y91" s="93"/>
      <c r="Z91" s="93"/>
      <c r="AA91" s="93"/>
    </row>
    <row r="92" spans="1:27" s="124" customFormat="1" ht="16.5" customHeight="1">
      <c r="A92" s="101">
        <v>2</v>
      </c>
      <c r="B92" s="124" t="s">
        <v>295</v>
      </c>
      <c r="C92" s="101">
        <v>49841</v>
      </c>
      <c r="D92" s="182"/>
      <c r="E92" s="303"/>
      <c r="F92" s="126"/>
      <c r="G92" s="287"/>
      <c r="H92" s="193"/>
      <c r="I92" s="195"/>
      <c r="J92" s="288"/>
      <c r="K92" s="195"/>
      <c r="L92" s="289"/>
      <c r="M92" s="193"/>
      <c r="N92" s="195"/>
      <c r="O92" s="290"/>
      <c r="P92" s="193"/>
      <c r="Q92" s="195"/>
      <c r="R92" s="193"/>
      <c r="S92" s="194"/>
      <c r="T92" s="194"/>
      <c r="U92" s="194"/>
      <c r="V92" s="195"/>
      <c r="W92" s="194"/>
      <c r="X92" s="194"/>
      <c r="Y92" s="194"/>
      <c r="Z92" s="194"/>
      <c r="AA92" s="194"/>
    </row>
    <row r="93" spans="1:27" s="124" customFormat="1" ht="16.5" customHeight="1">
      <c r="A93" s="101"/>
      <c r="B93" s="6" t="s">
        <v>218</v>
      </c>
      <c r="C93" s="126">
        <f>SUM(F95:F95)</f>
        <v>535</v>
      </c>
      <c r="D93" s="196" t="s">
        <v>126</v>
      </c>
      <c r="E93" s="304" t="s">
        <v>312</v>
      </c>
      <c r="F93" s="126"/>
      <c r="G93" s="287"/>
      <c r="H93" s="193"/>
      <c r="J93" s="288"/>
      <c r="L93" s="289"/>
      <c r="M93" s="193"/>
      <c r="N93" s="195"/>
      <c r="O93" s="290"/>
      <c r="P93" s="193"/>
      <c r="Q93" s="195"/>
      <c r="R93" s="193"/>
      <c r="S93" s="194"/>
      <c r="T93" s="194"/>
      <c r="U93" s="194"/>
      <c r="V93" s="195"/>
      <c r="W93" s="194"/>
      <c r="X93" s="194"/>
      <c r="Y93" s="194"/>
      <c r="Z93" s="194"/>
      <c r="AA93" s="194"/>
    </row>
    <row r="94" spans="1:32" s="250" customFormat="1" ht="16.5" customHeight="1">
      <c r="A94" s="248"/>
      <c r="B94" s="130" t="s">
        <v>207</v>
      </c>
      <c r="C94" s="206">
        <v>532.3</v>
      </c>
      <c r="D94" s="196" t="s">
        <v>126</v>
      </c>
      <c r="E94" s="312">
        <f>C94-C93</f>
        <v>-2.7000000000000455</v>
      </c>
      <c r="I94" s="251"/>
      <c r="O94" s="252"/>
      <c r="S94"/>
      <c r="T94"/>
      <c r="U94"/>
      <c r="V94"/>
      <c r="W94"/>
      <c r="X94"/>
      <c r="Y94"/>
      <c r="Z94"/>
      <c r="AA94"/>
      <c r="AB94"/>
      <c r="AC94"/>
      <c r="AD94"/>
      <c r="AE94"/>
      <c r="AF94"/>
    </row>
    <row r="95" spans="1:27" s="266" customFormat="1" ht="40.5" customHeight="1">
      <c r="A95" s="103">
        <v>3</v>
      </c>
      <c r="B95" s="306" t="s">
        <v>62</v>
      </c>
      <c r="C95" s="307" t="s">
        <v>296</v>
      </c>
      <c r="D95" s="200">
        <v>1</v>
      </c>
      <c r="E95" s="206">
        <v>535</v>
      </c>
      <c r="F95" s="120">
        <f>E95*D95</f>
        <v>535</v>
      </c>
      <c r="G95" s="260">
        <v>70.18</v>
      </c>
      <c r="H95" s="260">
        <f>G95*2.54</f>
        <v>178.2572</v>
      </c>
      <c r="I95" s="308">
        <f>F95*H95</f>
        <v>95367.60200000001</v>
      </c>
      <c r="J95" s="208">
        <v>355.5</v>
      </c>
      <c r="K95" s="308">
        <f>J95*D95</f>
        <v>355.5</v>
      </c>
      <c r="L95" s="260">
        <v>81.305</v>
      </c>
      <c r="M95" s="120">
        <f>L95*2.54</f>
        <v>206.51470000000003</v>
      </c>
      <c r="N95" s="308">
        <f>K95*M95</f>
        <v>73415.97585000002</v>
      </c>
      <c r="O95" s="209">
        <v>0</v>
      </c>
      <c r="P95" s="120">
        <f>O95*2.54</f>
        <v>0</v>
      </c>
      <c r="Q95" s="308">
        <f>F95*P95</f>
        <v>0</v>
      </c>
      <c r="R95" s="207">
        <f>K95*P95</f>
        <v>0</v>
      </c>
      <c r="S95" s="296"/>
      <c r="T95" s="297"/>
      <c r="U95" s="105"/>
      <c r="V95" s="128"/>
      <c r="W95" s="105"/>
      <c r="X95" s="105"/>
      <c r="Y95" s="105"/>
      <c r="Z95" s="105"/>
      <c r="AA95" s="105"/>
    </row>
    <row r="96" spans="1:27" s="248" customFormat="1" ht="16.5" customHeight="1">
      <c r="A96" s="103">
        <v>3</v>
      </c>
      <c r="B96" s="266" t="s">
        <v>298</v>
      </c>
      <c r="C96" s="103">
        <v>52481</v>
      </c>
      <c r="D96" s="200">
        <v>1</v>
      </c>
      <c r="E96" s="309" t="s">
        <v>297</v>
      </c>
      <c r="F96" s="207"/>
      <c r="G96" s="228"/>
      <c r="H96" s="207"/>
      <c r="I96" s="128"/>
      <c r="J96" s="229"/>
      <c r="K96" s="264"/>
      <c r="L96" s="230"/>
      <c r="M96" s="207"/>
      <c r="N96" s="128"/>
      <c r="O96" s="209"/>
      <c r="P96" s="207"/>
      <c r="Q96" s="128"/>
      <c r="R96" s="207"/>
      <c r="S96" s="310"/>
      <c r="T96" s="310"/>
      <c r="U96" s="310"/>
      <c r="V96" s="311"/>
      <c r="W96" s="310"/>
      <c r="X96" s="310"/>
      <c r="Y96" s="310"/>
      <c r="Z96" s="310"/>
      <c r="AA96" s="310"/>
    </row>
    <row r="97" spans="1:27" s="248" customFormat="1" ht="16.5" customHeight="1">
      <c r="A97" s="103"/>
      <c r="B97" s="266"/>
      <c r="C97" s="103"/>
      <c r="D97" s="200"/>
      <c r="E97" s="309"/>
      <c r="F97" s="207"/>
      <c r="G97" s="228"/>
      <c r="H97" s="207"/>
      <c r="I97" s="128"/>
      <c r="J97" s="229"/>
      <c r="K97" s="264"/>
      <c r="L97" s="230"/>
      <c r="M97" s="207"/>
      <c r="N97" s="128"/>
      <c r="O97" s="209"/>
      <c r="P97" s="207"/>
      <c r="Q97" s="128"/>
      <c r="R97" s="207"/>
      <c r="S97" s="310"/>
      <c r="T97" s="310"/>
      <c r="U97" s="310"/>
      <c r="V97" s="311"/>
      <c r="W97" s="310"/>
      <c r="X97" s="310"/>
      <c r="Y97" s="310"/>
      <c r="Z97" s="310"/>
      <c r="AA97" s="310"/>
    </row>
    <row r="98" spans="1:27" s="248" customFormat="1" ht="16.5" customHeight="1">
      <c r="A98" s="248">
        <v>2</v>
      </c>
      <c r="B98" s="250" t="s">
        <v>299</v>
      </c>
      <c r="C98" s="248">
        <v>55841</v>
      </c>
      <c r="D98" s="200"/>
      <c r="E98" s="309"/>
      <c r="F98" s="207"/>
      <c r="G98" s="228"/>
      <c r="H98" s="207"/>
      <c r="I98" s="128"/>
      <c r="J98" s="229"/>
      <c r="K98" s="264"/>
      <c r="L98" s="230"/>
      <c r="M98" s="207"/>
      <c r="N98" s="128"/>
      <c r="O98" s="209"/>
      <c r="P98" s="207"/>
      <c r="Q98" s="128"/>
      <c r="R98" s="207"/>
      <c r="S98" s="310"/>
      <c r="T98" s="310"/>
      <c r="U98" s="310"/>
      <c r="V98" s="311"/>
      <c r="W98" s="310"/>
      <c r="X98" s="310"/>
      <c r="Y98" s="310"/>
      <c r="Z98" s="310"/>
      <c r="AA98" s="310"/>
    </row>
    <row r="99" spans="1:27" s="124" customFormat="1" ht="16.5" customHeight="1">
      <c r="A99" s="101"/>
      <c r="B99" s="6" t="s">
        <v>218</v>
      </c>
      <c r="C99" s="126">
        <f>SUM(F101:F106)</f>
        <v>0</v>
      </c>
      <c r="D99" s="196" t="s">
        <v>126</v>
      </c>
      <c r="E99" s="304" t="s">
        <v>312</v>
      </c>
      <c r="F99" s="126"/>
      <c r="G99" s="287"/>
      <c r="H99" s="193"/>
      <c r="J99" s="288"/>
      <c r="L99" s="289"/>
      <c r="M99" s="193"/>
      <c r="N99" s="195"/>
      <c r="O99" s="290"/>
      <c r="P99" s="193"/>
      <c r="Q99" s="195"/>
      <c r="R99" s="193"/>
      <c r="S99" s="194"/>
      <c r="T99" s="194"/>
      <c r="U99" s="194"/>
      <c r="V99" s="195"/>
      <c r="W99" s="194"/>
      <c r="X99" s="194"/>
      <c r="Y99" s="194"/>
      <c r="Z99" s="194"/>
      <c r="AA99" s="194"/>
    </row>
    <row r="100" spans="1:32" s="250" customFormat="1" ht="16.5" customHeight="1">
      <c r="A100" s="248"/>
      <c r="B100" s="130" t="s">
        <v>207</v>
      </c>
      <c r="C100" s="206">
        <v>0</v>
      </c>
      <c r="D100" s="196" t="s">
        <v>126</v>
      </c>
      <c r="E100" s="312">
        <f>C100-C99</f>
        <v>0</v>
      </c>
      <c r="I100" s="251"/>
      <c r="O100" s="252"/>
      <c r="S100"/>
      <c r="T100"/>
      <c r="U100"/>
      <c r="V100"/>
      <c r="W100"/>
      <c r="X100"/>
      <c r="Y100"/>
      <c r="Z100"/>
      <c r="AA100"/>
      <c r="AB100"/>
      <c r="AC100"/>
      <c r="AD100"/>
      <c r="AE100"/>
      <c r="AF100"/>
    </row>
    <row r="101" spans="1:27" s="233" customFormat="1" ht="40.5" customHeight="1">
      <c r="A101" s="103">
        <v>3</v>
      </c>
      <c r="B101" s="265" t="s">
        <v>300</v>
      </c>
      <c r="C101" s="313" t="s">
        <v>301</v>
      </c>
      <c r="D101" s="200">
        <v>1</v>
      </c>
      <c r="E101" s="206">
        <v>0</v>
      </c>
      <c r="F101" s="207">
        <f>E101*D101</f>
        <v>0</v>
      </c>
      <c r="G101" s="228">
        <v>56.37</v>
      </c>
      <c r="H101" s="207">
        <f>G101*2.54</f>
        <v>143.1798</v>
      </c>
      <c r="I101" s="128">
        <f>F101*H101</f>
        <v>0</v>
      </c>
      <c r="J101" s="229">
        <v>122</v>
      </c>
      <c r="K101" s="128">
        <f>J101*D101</f>
        <v>122</v>
      </c>
      <c r="L101" s="207">
        <f>G101</f>
        <v>56.37</v>
      </c>
      <c r="M101" s="207">
        <f>L101*2.54</f>
        <v>143.1798</v>
      </c>
      <c r="N101" s="128">
        <f>K101*M101</f>
        <v>17467.9356</v>
      </c>
      <c r="O101" s="209">
        <v>2.5</v>
      </c>
      <c r="P101" s="207">
        <f>O101*2.54</f>
        <v>6.35</v>
      </c>
      <c r="Q101" s="128">
        <f>F101*P101</f>
        <v>0</v>
      </c>
      <c r="R101" s="207">
        <f>K101*P101</f>
        <v>774.6999999999999</v>
      </c>
      <c r="S101" s="231"/>
      <c r="T101" s="231"/>
      <c r="U101" s="231"/>
      <c r="V101" s="232"/>
      <c r="W101" s="231"/>
      <c r="X101" s="231"/>
      <c r="Y101" s="231"/>
      <c r="Z101" s="231"/>
      <c r="AA101" s="231"/>
    </row>
    <row r="102" spans="1:27" s="233" customFormat="1" ht="16.5" customHeight="1">
      <c r="A102" s="103">
        <v>3</v>
      </c>
      <c r="B102" s="266" t="s">
        <v>302</v>
      </c>
      <c r="C102" s="227">
        <v>55469</v>
      </c>
      <c r="D102" s="200">
        <v>1</v>
      </c>
      <c r="E102" s="206">
        <v>0</v>
      </c>
      <c r="F102" s="207">
        <f>E102*D102</f>
        <v>0</v>
      </c>
      <c r="G102" s="228">
        <v>50</v>
      </c>
      <c r="H102" s="207">
        <f>G102*2.54</f>
        <v>127</v>
      </c>
      <c r="I102" s="128">
        <f>F102*H102</f>
        <v>0</v>
      </c>
      <c r="J102" s="229">
        <f>E102/Neoprene_Density</f>
        <v>0</v>
      </c>
      <c r="K102" s="128">
        <f>J102*D102</f>
        <v>0</v>
      </c>
      <c r="L102" s="207">
        <f>G102</f>
        <v>50</v>
      </c>
      <c r="M102" s="207">
        <f>L102*2.54</f>
        <v>127</v>
      </c>
      <c r="N102" s="128">
        <f>K102*M102</f>
        <v>0</v>
      </c>
      <c r="O102" s="209">
        <v>2</v>
      </c>
      <c r="P102" s="207">
        <f>O102*2.54</f>
        <v>5.08</v>
      </c>
      <c r="Q102" s="128">
        <f>F102*P102</f>
        <v>0</v>
      </c>
      <c r="R102" s="207">
        <f>K102*P102</f>
        <v>0</v>
      </c>
      <c r="S102" s="231"/>
      <c r="T102" s="231"/>
      <c r="U102" s="231"/>
      <c r="V102" s="232"/>
      <c r="W102" s="231"/>
      <c r="X102" s="231"/>
      <c r="Y102" s="231"/>
      <c r="Z102" s="231"/>
      <c r="AA102" s="231"/>
    </row>
    <row r="103" spans="1:27" s="233" customFormat="1" ht="16.5" customHeight="1">
      <c r="A103" s="103"/>
      <c r="B103" s="266"/>
      <c r="C103" s="227"/>
      <c r="D103" s="200"/>
      <c r="E103" s="206"/>
      <c r="F103" s="207"/>
      <c r="G103" s="228"/>
      <c r="H103" s="207"/>
      <c r="I103" s="128"/>
      <c r="J103" s="229"/>
      <c r="K103" s="128"/>
      <c r="L103" s="207"/>
      <c r="M103" s="207"/>
      <c r="N103" s="128"/>
      <c r="O103" s="209"/>
      <c r="P103" s="207"/>
      <c r="Q103" s="128"/>
      <c r="R103" s="207"/>
      <c r="S103" s="231"/>
      <c r="T103" s="231"/>
      <c r="U103" s="231"/>
      <c r="V103" s="232"/>
      <c r="W103" s="231"/>
      <c r="X103" s="231"/>
      <c r="Y103" s="231"/>
      <c r="Z103" s="231"/>
      <c r="AA103" s="231"/>
    </row>
    <row r="104" spans="1:27" s="248" customFormat="1" ht="16.5" customHeight="1">
      <c r="A104" s="248">
        <v>2</v>
      </c>
      <c r="B104" s="250" t="s">
        <v>303</v>
      </c>
      <c r="C104" s="248">
        <v>55482</v>
      </c>
      <c r="D104" s="200"/>
      <c r="E104" s="309"/>
      <c r="F104" s="207"/>
      <c r="G104" s="228"/>
      <c r="H104" s="207"/>
      <c r="I104" s="128"/>
      <c r="J104" s="229"/>
      <c r="K104" s="264"/>
      <c r="L104" s="230"/>
      <c r="M104" s="207"/>
      <c r="N104" s="128"/>
      <c r="O104" s="209"/>
      <c r="P104" s="207"/>
      <c r="Q104" s="128"/>
      <c r="R104" s="207"/>
      <c r="S104" s="310"/>
      <c r="T104" s="310"/>
      <c r="U104" s="310"/>
      <c r="V104" s="311"/>
      <c r="W104" s="310"/>
      <c r="X104" s="310"/>
      <c r="Y104" s="310"/>
      <c r="Z104" s="310"/>
      <c r="AA104" s="310"/>
    </row>
    <row r="105" spans="1:27" s="124" customFormat="1" ht="16.5" customHeight="1">
      <c r="A105" s="101"/>
      <c r="B105" s="6" t="s">
        <v>218</v>
      </c>
      <c r="C105" s="126">
        <f>SUM(F104:F109)</f>
        <v>348.59999999999997</v>
      </c>
      <c r="D105" s="196" t="s">
        <v>126</v>
      </c>
      <c r="E105" s="304" t="s">
        <v>312</v>
      </c>
      <c r="F105" s="126"/>
      <c r="G105" s="287"/>
      <c r="H105" s="193"/>
      <c r="J105" s="288"/>
      <c r="L105" s="289"/>
      <c r="M105" s="193"/>
      <c r="N105" s="195"/>
      <c r="O105" s="290"/>
      <c r="P105" s="193"/>
      <c r="Q105" s="195"/>
      <c r="R105" s="193"/>
      <c r="S105" s="194"/>
      <c r="T105" s="194"/>
      <c r="U105" s="194"/>
      <c r="V105" s="195"/>
      <c r="W105" s="194"/>
      <c r="X105" s="194"/>
      <c r="Y105" s="194"/>
      <c r="Z105" s="194"/>
      <c r="AA105" s="194"/>
    </row>
    <row r="106" spans="1:32" s="250" customFormat="1" ht="16.5" customHeight="1">
      <c r="A106" s="248"/>
      <c r="B106" s="130" t="s">
        <v>207</v>
      </c>
      <c r="C106" s="206">
        <v>348.1</v>
      </c>
      <c r="D106" s="305" t="s">
        <v>126</v>
      </c>
      <c r="E106" s="199">
        <f>C106-C105</f>
        <v>-0.49999999999994316</v>
      </c>
      <c r="I106" s="251"/>
      <c r="O106" s="252"/>
      <c r="S106"/>
      <c r="T106"/>
      <c r="U106"/>
      <c r="V106"/>
      <c r="W106"/>
      <c r="X106"/>
      <c r="Y106"/>
      <c r="Z106"/>
      <c r="AA106"/>
      <c r="AB106"/>
      <c r="AC106"/>
      <c r="AD106"/>
      <c r="AE106"/>
      <c r="AF106"/>
    </row>
    <row r="107" spans="1:27" s="233" customFormat="1" ht="49.5" customHeight="1">
      <c r="A107" s="103">
        <v>3</v>
      </c>
      <c r="B107" s="265" t="s">
        <v>304</v>
      </c>
      <c r="C107" s="313" t="s">
        <v>305</v>
      </c>
      <c r="D107" s="200">
        <v>1</v>
      </c>
      <c r="E107" s="206">
        <v>283.9</v>
      </c>
      <c r="F107" s="207">
        <f>E107*D107</f>
        <v>283.9</v>
      </c>
      <c r="G107" s="228">
        <v>56.37</v>
      </c>
      <c r="H107" s="207">
        <f>G107*2.54</f>
        <v>143.1798</v>
      </c>
      <c r="I107" s="128">
        <f>F107*H107</f>
        <v>40648.74522</v>
      </c>
      <c r="J107" s="229">
        <v>122</v>
      </c>
      <c r="K107" s="128">
        <f>J107*D107</f>
        <v>122</v>
      </c>
      <c r="L107" s="207">
        <f>G107</f>
        <v>56.37</v>
      </c>
      <c r="M107" s="207">
        <f>L107*2.54</f>
        <v>143.1798</v>
      </c>
      <c r="N107" s="128">
        <f>K107*M107</f>
        <v>17467.9356</v>
      </c>
      <c r="O107" s="209">
        <v>2.5</v>
      </c>
      <c r="P107" s="207">
        <f>O107*2.54</f>
        <v>6.35</v>
      </c>
      <c r="Q107" s="128">
        <f>F107*P107</f>
        <v>1802.7649999999996</v>
      </c>
      <c r="R107" s="207">
        <f>K107*P107</f>
        <v>774.6999999999999</v>
      </c>
      <c r="S107" s="231"/>
      <c r="T107" s="231"/>
      <c r="U107" s="231"/>
      <c r="V107" s="232"/>
      <c r="W107" s="231"/>
      <c r="X107" s="231"/>
      <c r="Y107" s="231"/>
      <c r="Z107" s="231"/>
      <c r="AA107" s="231"/>
    </row>
    <row r="108" spans="1:27" s="233" customFormat="1" ht="16.5" customHeight="1">
      <c r="A108" s="103">
        <v>3</v>
      </c>
      <c r="B108" s="266" t="s">
        <v>302</v>
      </c>
      <c r="C108" s="227">
        <v>52236</v>
      </c>
      <c r="D108" s="200">
        <v>1</v>
      </c>
      <c r="E108" s="206">
        <v>64.7</v>
      </c>
      <c r="F108" s="207">
        <f>E108*D108</f>
        <v>64.7</v>
      </c>
      <c r="G108" s="228">
        <v>50</v>
      </c>
      <c r="H108" s="207">
        <f>G108*2.54</f>
        <v>127</v>
      </c>
      <c r="I108" s="128">
        <f>F108*H108</f>
        <v>8216.9</v>
      </c>
      <c r="J108" s="229">
        <f>E108/Neoprene_Density</f>
        <v>52.60162601626016</v>
      </c>
      <c r="K108" s="128">
        <f>J108*D108</f>
        <v>52.60162601626016</v>
      </c>
      <c r="L108" s="207">
        <f>G108</f>
        <v>50</v>
      </c>
      <c r="M108" s="207">
        <f>L108*2.54</f>
        <v>127</v>
      </c>
      <c r="N108" s="128">
        <f>K108*M108</f>
        <v>6680.40650406504</v>
      </c>
      <c r="O108" s="209">
        <v>2</v>
      </c>
      <c r="P108" s="207">
        <f>O108*2.54</f>
        <v>5.08</v>
      </c>
      <c r="Q108" s="128">
        <f>F108*P108</f>
        <v>328.67600000000004</v>
      </c>
      <c r="R108" s="207">
        <f>K108*P108</f>
        <v>267.21626016260166</v>
      </c>
      <c r="S108" s="231"/>
      <c r="T108" s="231"/>
      <c r="U108" s="231"/>
      <c r="V108" s="232"/>
      <c r="W108" s="231"/>
      <c r="X108" s="231"/>
      <c r="Y108" s="231"/>
      <c r="Z108" s="231"/>
      <c r="AA108" s="231"/>
    </row>
    <row r="109" spans="1:27" s="248" customFormat="1" ht="16.5" customHeight="1">
      <c r="A109" s="103">
        <v>3</v>
      </c>
      <c r="B109" s="266" t="s">
        <v>306</v>
      </c>
      <c r="C109" s="103">
        <v>55518</v>
      </c>
      <c r="D109" s="200">
        <v>1</v>
      </c>
      <c r="E109" s="309">
        <v>27.9</v>
      </c>
      <c r="F109" s="207"/>
      <c r="G109" s="228"/>
      <c r="H109" s="207"/>
      <c r="I109" s="128"/>
      <c r="J109" s="229"/>
      <c r="K109" s="264"/>
      <c r="L109" s="230"/>
      <c r="M109" s="207"/>
      <c r="N109" s="128"/>
      <c r="O109" s="209"/>
      <c r="P109" s="207"/>
      <c r="Q109" s="128"/>
      <c r="R109" s="207"/>
      <c r="S109" s="310"/>
      <c r="T109" s="310"/>
      <c r="U109" s="310"/>
      <c r="V109" s="311"/>
      <c r="W109" s="310"/>
      <c r="X109" s="310"/>
      <c r="Y109" s="310"/>
      <c r="Z109" s="310"/>
      <c r="AA109" s="310"/>
    </row>
    <row r="110" spans="2:27" s="248" customFormat="1" ht="16.5" customHeight="1">
      <c r="B110" s="266"/>
      <c r="C110" s="103"/>
      <c r="D110" s="200"/>
      <c r="E110" s="309"/>
      <c r="F110" s="207"/>
      <c r="G110" s="228"/>
      <c r="H110" s="207"/>
      <c r="I110" s="128"/>
      <c r="J110" s="229"/>
      <c r="K110" s="264"/>
      <c r="L110" s="230"/>
      <c r="M110" s="207"/>
      <c r="N110" s="128"/>
      <c r="O110" s="209"/>
      <c r="P110" s="207"/>
      <c r="Q110" s="128"/>
      <c r="R110" s="207"/>
      <c r="S110" s="310"/>
      <c r="T110" s="310"/>
      <c r="U110" s="310"/>
      <c r="V110" s="311"/>
      <c r="W110" s="310"/>
      <c r="X110" s="310"/>
      <c r="Y110" s="310"/>
      <c r="Z110" s="310"/>
      <c r="AA110" s="310"/>
    </row>
    <row r="111" spans="1:27" s="248" customFormat="1" ht="16.5" customHeight="1">
      <c r="A111" s="248">
        <v>2</v>
      </c>
      <c r="B111" s="250" t="s">
        <v>307</v>
      </c>
      <c r="C111" s="248">
        <v>55521</v>
      </c>
      <c r="D111" s="200"/>
      <c r="E111" s="309"/>
      <c r="F111" s="207"/>
      <c r="G111" s="228"/>
      <c r="H111" s="207"/>
      <c r="I111" s="128"/>
      <c r="J111" s="229"/>
      <c r="K111" s="264"/>
      <c r="L111" s="230"/>
      <c r="M111" s="207"/>
      <c r="N111" s="128"/>
      <c r="O111" s="209"/>
      <c r="P111" s="207"/>
      <c r="Q111" s="128"/>
      <c r="R111" s="207"/>
      <c r="S111" s="310"/>
      <c r="T111" s="310"/>
      <c r="U111" s="310"/>
      <c r="V111" s="311"/>
      <c r="W111" s="310"/>
      <c r="X111" s="310"/>
      <c r="Y111" s="310"/>
      <c r="Z111" s="310"/>
      <c r="AA111" s="310"/>
    </row>
    <row r="112" spans="1:27" s="124" customFormat="1" ht="16.5" customHeight="1">
      <c r="A112" s="101"/>
      <c r="B112" s="6" t="s">
        <v>218</v>
      </c>
      <c r="C112" s="126">
        <f>SUM(F111:F122)</f>
        <v>239.7</v>
      </c>
      <c r="D112" s="196" t="s">
        <v>126</v>
      </c>
      <c r="E112" s="304" t="s">
        <v>312</v>
      </c>
      <c r="F112" s="126"/>
      <c r="G112" s="287"/>
      <c r="H112" s="193"/>
      <c r="J112" s="288"/>
      <c r="L112" s="289"/>
      <c r="M112" s="193"/>
      <c r="N112" s="195"/>
      <c r="O112" s="290"/>
      <c r="P112" s="193"/>
      <c r="Q112" s="195"/>
      <c r="R112" s="193"/>
      <c r="S112" s="194"/>
      <c r="T112" s="194"/>
      <c r="U112" s="194"/>
      <c r="V112" s="195"/>
      <c r="W112" s="194"/>
      <c r="X112" s="194"/>
      <c r="Y112" s="194"/>
      <c r="Z112" s="194"/>
      <c r="AA112" s="194"/>
    </row>
    <row r="113" spans="1:32" s="250" customFormat="1" ht="16.5" customHeight="1">
      <c r="A113" s="248"/>
      <c r="B113" s="130" t="s">
        <v>207</v>
      </c>
      <c r="C113" s="206">
        <v>239.7</v>
      </c>
      <c r="D113" s="305" t="s">
        <v>126</v>
      </c>
      <c r="E113" s="199">
        <f>C113-C112</f>
        <v>0</v>
      </c>
      <c r="I113" s="251"/>
      <c r="O113" s="252"/>
      <c r="S113"/>
      <c r="T113"/>
      <c r="U113"/>
      <c r="V113"/>
      <c r="W113"/>
      <c r="X113"/>
      <c r="Y113"/>
      <c r="Z113"/>
      <c r="AA113"/>
      <c r="AB113"/>
      <c r="AC113"/>
      <c r="AD113"/>
      <c r="AE113"/>
      <c r="AF113"/>
    </row>
    <row r="114" spans="1:27" s="233" customFormat="1" ht="32.25" customHeight="1">
      <c r="A114" s="103">
        <v>3</v>
      </c>
      <c r="B114" s="265" t="s">
        <v>454</v>
      </c>
      <c r="C114" s="314" t="s">
        <v>455</v>
      </c>
      <c r="D114" s="200">
        <v>1</v>
      </c>
      <c r="E114" s="206">
        <v>239.7</v>
      </c>
      <c r="F114" s="207">
        <f>E114*D114</f>
        <v>239.7</v>
      </c>
      <c r="G114" s="228">
        <v>60.146</v>
      </c>
      <c r="H114" s="207">
        <f>G114*2.54</f>
        <v>152.77084</v>
      </c>
      <c r="I114" s="128">
        <f>F114*H114</f>
        <v>36619.170348</v>
      </c>
      <c r="J114" s="229">
        <v>159.3</v>
      </c>
      <c r="K114" s="128">
        <f>J114*D114</f>
        <v>159.3</v>
      </c>
      <c r="L114" s="207">
        <f>G114</f>
        <v>60.146</v>
      </c>
      <c r="M114" s="207">
        <f>L114*2.54</f>
        <v>152.77084</v>
      </c>
      <c r="N114" s="128">
        <f>K114*M114</f>
        <v>24336.394812000002</v>
      </c>
      <c r="O114" s="209">
        <v>-1.237</v>
      </c>
      <c r="P114" s="207">
        <f>O114*2.54</f>
        <v>-3.14198</v>
      </c>
      <c r="Q114" s="128">
        <f>F114*P114</f>
        <v>-753.132606</v>
      </c>
      <c r="R114" s="207">
        <f>K114*P114</f>
        <v>-500.5174140000001</v>
      </c>
      <c r="S114" s="231"/>
      <c r="T114" s="231"/>
      <c r="U114" s="231"/>
      <c r="V114" s="232"/>
      <c r="W114" s="231"/>
      <c r="X114" s="231"/>
      <c r="Y114" s="231"/>
      <c r="Z114" s="231"/>
      <c r="AA114" s="231"/>
    </row>
    <row r="115" spans="1:27" s="233" customFormat="1" ht="32.25" customHeight="1">
      <c r="A115" s="103">
        <v>3</v>
      </c>
      <c r="B115" s="265" t="s">
        <v>456</v>
      </c>
      <c r="C115" s="314" t="s">
        <v>457</v>
      </c>
      <c r="D115" s="200">
        <v>1</v>
      </c>
      <c r="E115" s="206">
        <v>0</v>
      </c>
      <c r="F115" s="207">
        <f>E115*D115</f>
        <v>0</v>
      </c>
      <c r="G115" s="228">
        <v>60.146</v>
      </c>
      <c r="H115" s="207">
        <f>G115*2.54</f>
        <v>152.77084</v>
      </c>
      <c r="I115" s="128">
        <f>F115*H115</f>
        <v>0</v>
      </c>
      <c r="J115" s="229">
        <v>159.3</v>
      </c>
      <c r="K115" s="128">
        <f>J115*D115</f>
        <v>159.3</v>
      </c>
      <c r="L115" s="207">
        <f>G115</f>
        <v>60.146</v>
      </c>
      <c r="M115" s="207">
        <f>L115*2.54</f>
        <v>152.77084</v>
      </c>
      <c r="N115" s="128">
        <f>K115*M115</f>
        <v>24336.394812000002</v>
      </c>
      <c r="O115" s="209">
        <v>-1.237</v>
      </c>
      <c r="P115" s="207">
        <f>O115*2.54</f>
        <v>-3.14198</v>
      </c>
      <c r="Q115" s="128">
        <f>F115*P115</f>
        <v>0</v>
      </c>
      <c r="R115" s="207">
        <f>K115*P115</f>
        <v>-500.5174140000001</v>
      </c>
      <c r="S115" s="231"/>
      <c r="T115" s="231"/>
      <c r="U115" s="231"/>
      <c r="V115" s="232"/>
      <c r="W115" s="231"/>
      <c r="X115" s="231"/>
      <c r="Y115" s="231"/>
      <c r="Z115" s="231"/>
      <c r="AA115" s="231"/>
    </row>
    <row r="116" spans="1:27" s="233" customFormat="1" ht="16.5" customHeight="1">
      <c r="A116" s="103">
        <v>3</v>
      </c>
      <c r="B116" s="265" t="s">
        <v>458</v>
      </c>
      <c r="C116" s="314" t="s">
        <v>459</v>
      </c>
      <c r="D116" s="200">
        <v>1</v>
      </c>
      <c r="E116" s="206" t="s">
        <v>297</v>
      </c>
      <c r="F116" s="207"/>
      <c r="G116" s="228"/>
      <c r="H116" s="207"/>
      <c r="I116" s="128"/>
      <c r="J116" s="229"/>
      <c r="K116" s="128"/>
      <c r="L116" s="207"/>
      <c r="M116" s="207"/>
      <c r="N116" s="128"/>
      <c r="O116" s="209"/>
      <c r="P116" s="207"/>
      <c r="Q116" s="128"/>
      <c r="R116" s="207"/>
      <c r="S116" s="231"/>
      <c r="T116" s="231"/>
      <c r="U116" s="231"/>
      <c r="V116" s="232"/>
      <c r="W116" s="231"/>
      <c r="X116" s="231"/>
      <c r="Y116" s="231"/>
      <c r="Z116" s="231"/>
      <c r="AA116" s="231"/>
    </row>
    <row r="117" spans="1:27" s="233" customFormat="1" ht="16.5" customHeight="1">
      <c r="A117" s="103"/>
      <c r="B117" s="265"/>
      <c r="C117" s="314"/>
      <c r="D117" s="200"/>
      <c r="E117" s="206"/>
      <c r="F117" s="207"/>
      <c r="G117" s="228"/>
      <c r="H117" s="207"/>
      <c r="I117" s="128"/>
      <c r="J117" s="229"/>
      <c r="K117" s="128"/>
      <c r="L117" s="207"/>
      <c r="M117" s="207"/>
      <c r="N117" s="128"/>
      <c r="O117" s="209"/>
      <c r="P117" s="207"/>
      <c r="Q117" s="128"/>
      <c r="R117" s="207"/>
      <c r="S117" s="231"/>
      <c r="T117" s="231"/>
      <c r="U117" s="231"/>
      <c r="V117" s="232"/>
      <c r="W117" s="231"/>
      <c r="X117" s="231"/>
      <c r="Y117" s="231"/>
      <c r="Z117" s="231"/>
      <c r="AA117" s="231"/>
    </row>
    <row r="118" spans="1:22" s="105" customFormat="1" ht="16.5" customHeight="1">
      <c r="A118" s="171"/>
      <c r="B118" s="315"/>
      <c r="C118" s="274"/>
      <c r="D118" s="219"/>
      <c r="E118" s="316"/>
      <c r="F118" s="279"/>
      <c r="G118" s="280"/>
      <c r="H118" s="279"/>
      <c r="I118" s="281"/>
      <c r="J118" s="317"/>
      <c r="K118" s="281"/>
      <c r="L118" s="283"/>
      <c r="M118" s="279"/>
      <c r="N118" s="281"/>
      <c r="O118" s="284"/>
      <c r="P118" s="279"/>
      <c r="Q118" s="281"/>
      <c r="R118" s="279"/>
      <c r="V118" s="128"/>
    </row>
    <row r="119" spans="1:22" s="105" customFormat="1" ht="16.5" customHeight="1">
      <c r="A119" s="179">
        <v>1</v>
      </c>
      <c r="B119" s="318" t="s">
        <v>460</v>
      </c>
      <c r="C119" s="319">
        <v>55486</v>
      </c>
      <c r="D119" s="200"/>
      <c r="E119" s="309"/>
      <c r="F119" s="203"/>
      <c r="G119" s="260"/>
      <c r="H119" s="203"/>
      <c r="I119" s="256"/>
      <c r="J119" s="320"/>
      <c r="K119" s="256"/>
      <c r="L119" s="120"/>
      <c r="M119" s="203"/>
      <c r="N119" s="256"/>
      <c r="O119" s="209"/>
      <c r="P119" s="203"/>
      <c r="Q119" s="256"/>
      <c r="R119" s="203"/>
      <c r="V119" s="128"/>
    </row>
    <row r="120" spans="1:22" s="329" customFormat="1" ht="18" customHeight="1">
      <c r="A120" s="321"/>
      <c r="B120" s="210" t="s">
        <v>218</v>
      </c>
      <c r="C120" s="193">
        <f>C138+C254+C361+C378+C390+SUM(F123:F134)</f>
        <v>36242.9</v>
      </c>
      <c r="D120" s="196" t="s">
        <v>126</v>
      </c>
      <c r="E120" s="322" t="s">
        <v>312</v>
      </c>
      <c r="F120" s="323"/>
      <c r="G120" s="324"/>
      <c r="H120" s="323"/>
      <c r="I120" s="325"/>
      <c r="J120" s="326"/>
      <c r="K120" s="325"/>
      <c r="L120" s="327"/>
      <c r="M120" s="323"/>
      <c r="N120" s="325"/>
      <c r="O120" s="328"/>
      <c r="P120" s="323"/>
      <c r="Q120" s="325"/>
      <c r="R120" s="323"/>
      <c r="V120" s="325"/>
    </row>
    <row r="121" spans="1:22" s="340" customFormat="1" ht="16.5" customHeight="1">
      <c r="A121" s="330"/>
      <c r="B121" s="331" t="s">
        <v>207</v>
      </c>
      <c r="C121" s="332">
        <v>36195</v>
      </c>
      <c r="D121" s="196" t="s">
        <v>126</v>
      </c>
      <c r="E121" s="333">
        <f>C121-C120</f>
        <v>-47.900000000001455</v>
      </c>
      <c r="F121" s="203"/>
      <c r="G121" s="334"/>
      <c r="H121" s="335"/>
      <c r="I121" s="336"/>
      <c r="J121" s="326"/>
      <c r="K121" s="336"/>
      <c r="L121" s="337"/>
      <c r="M121" s="335"/>
      <c r="N121" s="336"/>
      <c r="O121" s="338"/>
      <c r="P121" s="335"/>
      <c r="Q121" s="336"/>
      <c r="R121" s="339"/>
      <c r="V121" s="341"/>
    </row>
    <row r="122" spans="1:22" s="340" customFormat="1" ht="16.5" customHeight="1">
      <c r="A122" s="330"/>
      <c r="B122" s="318" t="s">
        <v>461</v>
      </c>
      <c r="C122" s="258">
        <f>SUM(K146:K404)</f>
        <v>42758.0620529411</v>
      </c>
      <c r="D122" s="196" t="s">
        <v>311</v>
      </c>
      <c r="E122" s="333"/>
      <c r="F122" s="203"/>
      <c r="G122" s="334"/>
      <c r="H122" s="335"/>
      <c r="I122" s="336"/>
      <c r="J122" s="326"/>
      <c r="K122" s="336"/>
      <c r="L122" s="337"/>
      <c r="M122" s="335"/>
      <c r="N122" s="336"/>
      <c r="O122" s="338"/>
      <c r="P122" s="335"/>
      <c r="Q122" s="336"/>
      <c r="R122" s="339"/>
      <c r="V122" s="341"/>
    </row>
    <row r="123" spans="1:22" s="105" customFormat="1" ht="16.5" customHeight="1">
      <c r="A123" s="103">
        <v>2</v>
      </c>
      <c r="B123" s="266" t="s">
        <v>462</v>
      </c>
      <c r="C123" s="269" t="s">
        <v>463</v>
      </c>
      <c r="D123" s="200">
        <v>1</v>
      </c>
      <c r="E123" s="206">
        <v>7.3</v>
      </c>
      <c r="F123" s="207">
        <f aca="true" t="shared" si="20" ref="F123:F134">E123*D123</f>
        <v>7.3</v>
      </c>
      <c r="G123" s="228">
        <v>51.75</v>
      </c>
      <c r="H123" s="207">
        <f aca="true" t="shared" si="21" ref="H123:H134">G123*2.54</f>
        <v>131.445</v>
      </c>
      <c r="I123" s="128">
        <f aca="true" t="shared" si="22" ref="I123:I134">F123*H123</f>
        <v>959.5484999999999</v>
      </c>
      <c r="J123" s="229">
        <v>3.7</v>
      </c>
      <c r="K123" s="207">
        <f aca="true" t="shared" si="23" ref="K123:K134">J123*D123</f>
        <v>3.7</v>
      </c>
      <c r="L123" s="207">
        <f aca="true" t="shared" si="24" ref="L123:L134">G123</f>
        <v>51.75</v>
      </c>
      <c r="M123" s="207">
        <f aca="true" t="shared" si="25" ref="M123:M134">L123*2.54</f>
        <v>131.445</v>
      </c>
      <c r="N123" s="128">
        <f aca="true" t="shared" si="26" ref="N123:N134">K123*M123</f>
        <v>486.3465</v>
      </c>
      <c r="O123" s="209">
        <v>0</v>
      </c>
      <c r="P123" s="207">
        <f aca="true" t="shared" si="27" ref="P123:P134">O123*2.54</f>
        <v>0</v>
      </c>
      <c r="Q123" s="128">
        <f aca="true" t="shared" si="28" ref="Q123:Q134">F123*P123</f>
        <v>0</v>
      </c>
      <c r="R123" s="207">
        <f aca="true" t="shared" si="29" ref="R123:R134">K123*P123</f>
        <v>0</v>
      </c>
      <c r="V123" s="128"/>
    </row>
    <row r="124" spans="1:22" s="105" customFormat="1" ht="16.5" customHeight="1">
      <c r="A124" s="103">
        <v>2</v>
      </c>
      <c r="B124" s="266" t="s">
        <v>464</v>
      </c>
      <c r="C124" s="269" t="s">
        <v>463</v>
      </c>
      <c r="D124" s="200">
        <v>1</v>
      </c>
      <c r="E124" s="206">
        <v>0</v>
      </c>
      <c r="F124" s="207">
        <f t="shared" si="20"/>
        <v>0</v>
      </c>
      <c r="G124" s="228">
        <v>51.75</v>
      </c>
      <c r="H124" s="207">
        <f t="shared" si="21"/>
        <v>131.445</v>
      </c>
      <c r="I124" s="128">
        <f t="shared" si="22"/>
        <v>0</v>
      </c>
      <c r="J124" s="229">
        <v>3.7</v>
      </c>
      <c r="K124" s="207">
        <f t="shared" si="23"/>
        <v>3.7</v>
      </c>
      <c r="L124" s="207">
        <f t="shared" si="24"/>
        <v>51.75</v>
      </c>
      <c r="M124" s="207">
        <f t="shared" si="25"/>
        <v>131.445</v>
      </c>
      <c r="N124" s="128">
        <f t="shared" si="26"/>
        <v>486.3465</v>
      </c>
      <c r="O124" s="209">
        <v>-1.7</v>
      </c>
      <c r="P124" s="207">
        <f t="shared" si="27"/>
        <v>-4.318</v>
      </c>
      <c r="Q124" s="128">
        <f t="shared" si="28"/>
        <v>0</v>
      </c>
      <c r="R124" s="207">
        <f t="shared" si="29"/>
        <v>-15.9766</v>
      </c>
      <c r="V124" s="128"/>
    </row>
    <row r="125" spans="1:22" s="105" customFormat="1" ht="16.5" customHeight="1">
      <c r="A125" s="103">
        <v>2</v>
      </c>
      <c r="B125" s="266" t="s">
        <v>465</v>
      </c>
      <c r="C125" s="269" t="s">
        <v>463</v>
      </c>
      <c r="D125" s="200">
        <v>1</v>
      </c>
      <c r="E125" s="206">
        <v>7.3</v>
      </c>
      <c r="F125" s="207">
        <f t="shared" si="20"/>
        <v>7.3</v>
      </c>
      <c r="G125" s="228">
        <v>51.75</v>
      </c>
      <c r="H125" s="207">
        <f t="shared" si="21"/>
        <v>131.445</v>
      </c>
      <c r="I125" s="128">
        <f t="shared" si="22"/>
        <v>959.5484999999999</v>
      </c>
      <c r="J125" s="229">
        <v>3.7</v>
      </c>
      <c r="K125" s="207">
        <f t="shared" si="23"/>
        <v>3.7</v>
      </c>
      <c r="L125" s="207">
        <f t="shared" si="24"/>
        <v>51.75</v>
      </c>
      <c r="M125" s="207">
        <f t="shared" si="25"/>
        <v>131.445</v>
      </c>
      <c r="N125" s="128">
        <f t="shared" si="26"/>
        <v>486.3465</v>
      </c>
      <c r="O125" s="209">
        <v>-2.3</v>
      </c>
      <c r="P125" s="207">
        <f t="shared" si="27"/>
        <v>-5.842</v>
      </c>
      <c r="Q125" s="128">
        <f t="shared" si="28"/>
        <v>-42.6466</v>
      </c>
      <c r="R125" s="207">
        <f t="shared" si="29"/>
        <v>-21.6154</v>
      </c>
      <c r="V125" s="128"/>
    </row>
    <row r="126" spans="1:22" s="105" customFormat="1" ht="16.5" customHeight="1">
      <c r="A126" s="103">
        <v>2</v>
      </c>
      <c r="B126" s="266" t="s">
        <v>466</v>
      </c>
      <c r="C126" s="269" t="s">
        <v>463</v>
      </c>
      <c r="D126" s="200">
        <v>1</v>
      </c>
      <c r="E126" s="206">
        <v>7.3</v>
      </c>
      <c r="F126" s="207">
        <f t="shared" si="20"/>
        <v>7.3</v>
      </c>
      <c r="G126" s="228">
        <v>51.75</v>
      </c>
      <c r="H126" s="207">
        <f t="shared" si="21"/>
        <v>131.445</v>
      </c>
      <c r="I126" s="128">
        <f t="shared" si="22"/>
        <v>959.5484999999999</v>
      </c>
      <c r="J126" s="229">
        <v>3.7</v>
      </c>
      <c r="K126" s="207">
        <f t="shared" si="23"/>
        <v>3.7</v>
      </c>
      <c r="L126" s="207">
        <f t="shared" si="24"/>
        <v>51.75</v>
      </c>
      <c r="M126" s="207">
        <f t="shared" si="25"/>
        <v>131.445</v>
      </c>
      <c r="N126" s="128">
        <f t="shared" si="26"/>
        <v>486.3465</v>
      </c>
      <c r="O126" s="209">
        <v>-1.7</v>
      </c>
      <c r="P126" s="207">
        <f t="shared" si="27"/>
        <v>-4.318</v>
      </c>
      <c r="Q126" s="128">
        <f t="shared" si="28"/>
        <v>-31.521399999999996</v>
      </c>
      <c r="R126" s="207">
        <f t="shared" si="29"/>
        <v>-15.9766</v>
      </c>
      <c r="V126" s="128"/>
    </row>
    <row r="127" spans="1:22" s="105" customFormat="1" ht="16.5" customHeight="1">
      <c r="A127" s="103">
        <v>2</v>
      </c>
      <c r="B127" s="266" t="s">
        <v>467</v>
      </c>
      <c r="C127" s="269" t="s">
        <v>463</v>
      </c>
      <c r="D127" s="200">
        <v>1</v>
      </c>
      <c r="E127" s="206">
        <v>0</v>
      </c>
      <c r="F127" s="207">
        <f t="shared" si="20"/>
        <v>0</v>
      </c>
      <c r="G127" s="228">
        <v>51.75</v>
      </c>
      <c r="H127" s="207">
        <f t="shared" si="21"/>
        <v>131.445</v>
      </c>
      <c r="I127" s="128">
        <f t="shared" si="22"/>
        <v>0</v>
      </c>
      <c r="J127" s="229">
        <v>3.7</v>
      </c>
      <c r="K127" s="207">
        <f t="shared" si="23"/>
        <v>3.7</v>
      </c>
      <c r="L127" s="207">
        <f t="shared" si="24"/>
        <v>51.75</v>
      </c>
      <c r="M127" s="207">
        <f t="shared" si="25"/>
        <v>131.445</v>
      </c>
      <c r="N127" s="128">
        <f t="shared" si="26"/>
        <v>486.3465</v>
      </c>
      <c r="O127" s="209">
        <v>1.7</v>
      </c>
      <c r="P127" s="207">
        <f t="shared" si="27"/>
        <v>4.318</v>
      </c>
      <c r="Q127" s="128">
        <f t="shared" si="28"/>
        <v>0</v>
      </c>
      <c r="R127" s="207">
        <f t="shared" si="29"/>
        <v>15.9766</v>
      </c>
      <c r="V127" s="128"/>
    </row>
    <row r="128" spans="1:22" s="105" customFormat="1" ht="16.5" customHeight="1">
      <c r="A128" s="103">
        <v>2</v>
      </c>
      <c r="B128" s="266" t="s">
        <v>468</v>
      </c>
      <c r="C128" s="269" t="s">
        <v>469</v>
      </c>
      <c r="D128" s="200">
        <v>1</v>
      </c>
      <c r="E128" s="206">
        <v>8</v>
      </c>
      <c r="F128" s="207">
        <f t="shared" si="20"/>
        <v>8</v>
      </c>
      <c r="G128" s="228">
        <v>48.55</v>
      </c>
      <c r="H128" s="207">
        <f t="shared" si="21"/>
        <v>123.317</v>
      </c>
      <c r="I128" s="128">
        <f t="shared" si="22"/>
        <v>986.536</v>
      </c>
      <c r="J128" s="293">
        <v>7.13</v>
      </c>
      <c r="K128" s="128">
        <f t="shared" si="23"/>
        <v>7.13</v>
      </c>
      <c r="L128" s="230">
        <f t="shared" si="24"/>
        <v>48.55</v>
      </c>
      <c r="M128" s="207">
        <f t="shared" si="25"/>
        <v>123.317</v>
      </c>
      <c r="N128" s="128">
        <f t="shared" si="26"/>
        <v>879.2502099999999</v>
      </c>
      <c r="O128" s="209">
        <v>0</v>
      </c>
      <c r="P128" s="207">
        <f t="shared" si="27"/>
        <v>0</v>
      </c>
      <c r="Q128" s="128">
        <f t="shared" si="28"/>
        <v>0</v>
      </c>
      <c r="R128" s="207">
        <f t="shared" si="29"/>
        <v>0</v>
      </c>
      <c r="V128" s="128"/>
    </row>
    <row r="129" spans="1:22" s="105" customFormat="1" ht="33" customHeight="1">
      <c r="A129" s="103">
        <v>2</v>
      </c>
      <c r="B129" s="342" t="s">
        <v>470</v>
      </c>
      <c r="C129" s="343" t="s">
        <v>471</v>
      </c>
      <c r="D129" s="200">
        <v>1</v>
      </c>
      <c r="E129" s="206">
        <v>13</v>
      </c>
      <c r="F129" s="207">
        <f t="shared" si="20"/>
        <v>13</v>
      </c>
      <c r="G129" s="228">
        <v>48.64</v>
      </c>
      <c r="H129" s="207">
        <f t="shared" si="21"/>
        <v>123.54560000000001</v>
      </c>
      <c r="I129" s="128">
        <f t="shared" si="22"/>
        <v>1606.0928000000001</v>
      </c>
      <c r="J129" s="229">
        <f>E129/SS_Density</f>
        <v>1.6195340725052947</v>
      </c>
      <c r="K129" s="128">
        <f t="shared" si="23"/>
        <v>1.6195340725052947</v>
      </c>
      <c r="L129" s="230">
        <f t="shared" si="24"/>
        <v>48.64</v>
      </c>
      <c r="M129" s="207">
        <f t="shared" si="25"/>
        <v>123.54560000000001</v>
      </c>
      <c r="N129" s="128">
        <f t="shared" si="26"/>
        <v>200.08630870811015</v>
      </c>
      <c r="O129" s="209">
        <v>0</v>
      </c>
      <c r="P129" s="207">
        <f t="shared" si="27"/>
        <v>0</v>
      </c>
      <c r="Q129" s="128">
        <f t="shared" si="28"/>
        <v>0</v>
      </c>
      <c r="R129" s="207">
        <f t="shared" si="29"/>
        <v>0</v>
      </c>
      <c r="V129" s="128"/>
    </row>
    <row r="130" spans="1:22" s="105" customFormat="1" ht="16.5" customHeight="1">
      <c r="A130" s="103">
        <v>2</v>
      </c>
      <c r="B130" s="105" t="s">
        <v>348</v>
      </c>
      <c r="C130" s="269" t="s">
        <v>469</v>
      </c>
      <c r="D130" s="200">
        <v>1</v>
      </c>
      <c r="E130" s="206">
        <v>8</v>
      </c>
      <c r="F130" s="207">
        <f t="shared" si="20"/>
        <v>8</v>
      </c>
      <c r="G130" s="228">
        <v>28.72</v>
      </c>
      <c r="H130" s="207">
        <f t="shared" si="21"/>
        <v>72.94879999999999</v>
      </c>
      <c r="I130" s="128">
        <f t="shared" si="22"/>
        <v>583.5903999999999</v>
      </c>
      <c r="J130" s="293">
        <v>7.13</v>
      </c>
      <c r="K130" s="207">
        <f t="shared" si="23"/>
        <v>7.13</v>
      </c>
      <c r="L130" s="230">
        <f t="shared" si="24"/>
        <v>28.72</v>
      </c>
      <c r="M130" s="207">
        <f t="shared" si="25"/>
        <v>72.94879999999999</v>
      </c>
      <c r="N130" s="128">
        <f t="shared" si="26"/>
        <v>520.1249439999999</v>
      </c>
      <c r="O130" s="209">
        <v>0</v>
      </c>
      <c r="P130" s="207">
        <f t="shared" si="27"/>
        <v>0</v>
      </c>
      <c r="Q130" s="128">
        <f t="shared" si="28"/>
        <v>0</v>
      </c>
      <c r="R130" s="207">
        <f t="shared" si="29"/>
        <v>0</v>
      </c>
      <c r="V130" s="128"/>
    </row>
    <row r="131" spans="1:22" s="105" customFormat="1" ht="33" customHeight="1">
      <c r="A131" s="103">
        <v>2</v>
      </c>
      <c r="B131" s="342" t="s">
        <v>349</v>
      </c>
      <c r="C131" s="313" t="s">
        <v>471</v>
      </c>
      <c r="D131" s="200">
        <v>1</v>
      </c>
      <c r="E131" s="206">
        <v>15</v>
      </c>
      <c r="F131" s="207">
        <f t="shared" si="20"/>
        <v>15</v>
      </c>
      <c r="G131" s="228">
        <v>25.75</v>
      </c>
      <c r="H131" s="207">
        <f t="shared" si="21"/>
        <v>65.405</v>
      </c>
      <c r="I131" s="128">
        <f t="shared" si="22"/>
        <v>981.075</v>
      </c>
      <c r="J131" s="229">
        <f>E131/SS_Density</f>
        <v>1.8686931605830324</v>
      </c>
      <c r="K131" s="128">
        <f t="shared" si="23"/>
        <v>1.8686931605830324</v>
      </c>
      <c r="L131" s="230">
        <f t="shared" si="24"/>
        <v>25.75</v>
      </c>
      <c r="M131" s="207">
        <f t="shared" si="25"/>
        <v>65.405</v>
      </c>
      <c r="N131" s="128">
        <f t="shared" si="26"/>
        <v>122.22187616793323</v>
      </c>
      <c r="O131" s="209">
        <v>0</v>
      </c>
      <c r="P131" s="207">
        <f t="shared" si="27"/>
        <v>0</v>
      </c>
      <c r="Q131" s="128">
        <f t="shared" si="28"/>
        <v>0</v>
      </c>
      <c r="R131" s="207">
        <f t="shared" si="29"/>
        <v>0</v>
      </c>
      <c r="V131" s="128"/>
    </row>
    <row r="132" spans="1:22" s="105" customFormat="1" ht="16.5" customHeight="1">
      <c r="A132" s="103">
        <v>2</v>
      </c>
      <c r="B132" s="266" t="s">
        <v>350</v>
      </c>
      <c r="C132" s="103" t="s">
        <v>351</v>
      </c>
      <c r="D132" s="200">
        <v>1</v>
      </c>
      <c r="E132" s="206">
        <v>5.2</v>
      </c>
      <c r="F132" s="207">
        <f t="shared" si="20"/>
        <v>5.2</v>
      </c>
      <c r="G132" s="228">
        <v>23.41</v>
      </c>
      <c r="H132" s="207">
        <f t="shared" si="21"/>
        <v>59.461400000000005</v>
      </c>
      <c r="I132" s="128">
        <f t="shared" si="22"/>
        <v>309.19928000000004</v>
      </c>
      <c r="J132" s="300">
        <v>0</v>
      </c>
      <c r="K132" s="128">
        <f t="shared" si="23"/>
        <v>0</v>
      </c>
      <c r="L132" s="230">
        <f t="shared" si="24"/>
        <v>23.41</v>
      </c>
      <c r="M132" s="207">
        <f t="shared" si="25"/>
        <v>59.461400000000005</v>
      </c>
      <c r="N132" s="128">
        <f t="shared" si="26"/>
        <v>0</v>
      </c>
      <c r="O132" s="209">
        <v>0</v>
      </c>
      <c r="P132" s="207">
        <f t="shared" si="27"/>
        <v>0</v>
      </c>
      <c r="Q132" s="128">
        <f t="shared" si="28"/>
        <v>0</v>
      </c>
      <c r="R132" s="207">
        <f t="shared" si="29"/>
        <v>0</v>
      </c>
      <c r="V132" s="128"/>
    </row>
    <row r="133" spans="1:22" s="105" customFormat="1" ht="16.5" customHeight="1">
      <c r="A133" s="103">
        <v>2</v>
      </c>
      <c r="B133" s="105" t="s">
        <v>352</v>
      </c>
      <c r="C133" s="227">
        <v>52410</v>
      </c>
      <c r="D133" s="200">
        <v>1</v>
      </c>
      <c r="E133" s="206">
        <v>6.3</v>
      </c>
      <c r="F133" s="207">
        <f t="shared" si="20"/>
        <v>6.3</v>
      </c>
      <c r="G133" s="228">
        <v>26.13</v>
      </c>
      <c r="H133" s="207">
        <f t="shared" si="21"/>
        <v>66.3702</v>
      </c>
      <c r="I133" s="128">
        <f t="shared" si="22"/>
        <v>418.13226</v>
      </c>
      <c r="J133" s="293">
        <v>5.76</v>
      </c>
      <c r="K133" s="207">
        <f t="shared" si="23"/>
        <v>5.76</v>
      </c>
      <c r="L133" s="230">
        <f t="shared" si="24"/>
        <v>26.13</v>
      </c>
      <c r="M133" s="207">
        <f t="shared" si="25"/>
        <v>66.3702</v>
      </c>
      <c r="N133" s="128">
        <f t="shared" si="26"/>
        <v>382.292352</v>
      </c>
      <c r="O133" s="209">
        <v>0</v>
      </c>
      <c r="P133" s="207">
        <f t="shared" si="27"/>
        <v>0</v>
      </c>
      <c r="Q133" s="128">
        <f t="shared" si="28"/>
        <v>0</v>
      </c>
      <c r="R133" s="207">
        <f t="shared" si="29"/>
        <v>0</v>
      </c>
      <c r="V133" s="128"/>
    </row>
    <row r="134" spans="1:22" s="105" customFormat="1" ht="16.5" customHeight="1">
      <c r="A134" s="103">
        <v>2</v>
      </c>
      <c r="B134" s="266" t="s">
        <v>353</v>
      </c>
      <c r="C134" s="269" t="s">
        <v>351</v>
      </c>
      <c r="D134" s="200">
        <v>1</v>
      </c>
      <c r="E134" s="206">
        <v>10.6</v>
      </c>
      <c r="F134" s="207">
        <f t="shared" si="20"/>
        <v>10.6</v>
      </c>
      <c r="G134" s="228">
        <v>25.92</v>
      </c>
      <c r="H134" s="207">
        <f t="shared" si="21"/>
        <v>65.83680000000001</v>
      </c>
      <c r="I134" s="128">
        <f t="shared" si="22"/>
        <v>697.8700800000001</v>
      </c>
      <c r="J134" s="300">
        <v>0</v>
      </c>
      <c r="K134" s="128">
        <f t="shared" si="23"/>
        <v>0</v>
      </c>
      <c r="L134" s="230">
        <f t="shared" si="24"/>
        <v>25.92</v>
      </c>
      <c r="M134" s="207">
        <f t="shared" si="25"/>
        <v>65.83680000000001</v>
      </c>
      <c r="N134" s="128">
        <f t="shared" si="26"/>
        <v>0</v>
      </c>
      <c r="O134" s="209">
        <v>0</v>
      </c>
      <c r="P134" s="207">
        <f t="shared" si="27"/>
        <v>0</v>
      </c>
      <c r="Q134" s="128">
        <f t="shared" si="28"/>
        <v>0</v>
      </c>
      <c r="R134" s="207">
        <f t="shared" si="29"/>
        <v>0</v>
      </c>
      <c r="V134" s="103"/>
    </row>
    <row r="135" spans="1:22" s="340" customFormat="1" ht="16.5" customHeight="1">
      <c r="A135" s="330"/>
      <c r="B135" s="318"/>
      <c r="C135" s="258"/>
      <c r="D135" s="196"/>
      <c r="E135" s="333"/>
      <c r="F135" s="203"/>
      <c r="G135" s="334"/>
      <c r="H135" s="335"/>
      <c r="I135" s="336"/>
      <c r="J135" s="326"/>
      <c r="K135" s="336"/>
      <c r="L135" s="337"/>
      <c r="M135" s="335"/>
      <c r="N135" s="336"/>
      <c r="O135" s="338"/>
      <c r="P135" s="335"/>
      <c r="Q135" s="336"/>
      <c r="R135" s="339"/>
      <c r="V135" s="341"/>
    </row>
    <row r="136" spans="1:22" s="8" customFormat="1" ht="16.5" customHeight="1">
      <c r="A136" s="344"/>
      <c r="B136" s="345"/>
      <c r="C136" s="346"/>
      <c r="D136" s="347"/>
      <c r="E136" s="348"/>
      <c r="F136" s="349"/>
      <c r="G136" s="349"/>
      <c r="H136" s="349"/>
      <c r="I136" s="349"/>
      <c r="J136" s="350"/>
      <c r="K136" s="349"/>
      <c r="L136" s="349"/>
      <c r="M136" s="349"/>
      <c r="N136" s="349"/>
      <c r="O136" s="350"/>
      <c r="P136" s="349"/>
      <c r="Q136" s="349"/>
      <c r="R136" s="349"/>
      <c r="V136" s="97"/>
    </row>
    <row r="137" spans="1:22" s="8" customFormat="1" ht="16.5" customHeight="1">
      <c r="A137" s="101">
        <v>2</v>
      </c>
      <c r="B137" s="124" t="s">
        <v>354</v>
      </c>
      <c r="C137" s="195">
        <v>49891</v>
      </c>
      <c r="D137" s="286"/>
      <c r="E137" s="178"/>
      <c r="F137" s="126"/>
      <c r="G137" s="287"/>
      <c r="H137" s="126"/>
      <c r="I137" s="97"/>
      <c r="J137" s="288"/>
      <c r="K137" s="195"/>
      <c r="L137" s="351"/>
      <c r="M137" s="126"/>
      <c r="N137" s="195"/>
      <c r="O137" s="302"/>
      <c r="P137" s="126"/>
      <c r="Q137" s="97"/>
      <c r="R137" s="126"/>
      <c r="V137" s="97"/>
    </row>
    <row r="138" spans="1:22" s="8" customFormat="1" ht="16.5" customHeight="1">
      <c r="A138" s="10"/>
      <c r="B138" s="210" t="s">
        <v>218</v>
      </c>
      <c r="C138" s="193">
        <f>SUM(F149:F250)</f>
        <v>7248.2000000000035</v>
      </c>
      <c r="D138" s="196" t="s">
        <v>126</v>
      </c>
      <c r="E138" s="322" t="s">
        <v>312</v>
      </c>
      <c r="F138" s="126"/>
      <c r="G138" s="287"/>
      <c r="H138" s="126"/>
      <c r="J138" s="288"/>
      <c r="L138" s="351"/>
      <c r="M138" s="126"/>
      <c r="N138" s="195"/>
      <c r="O138" s="302"/>
      <c r="P138" s="126"/>
      <c r="Q138" s="97"/>
      <c r="R138" s="126"/>
      <c r="V138" s="97"/>
    </row>
    <row r="139" spans="1:32" s="105" customFormat="1" ht="16.5" customHeight="1">
      <c r="A139" s="103"/>
      <c r="B139" s="331" t="s">
        <v>207</v>
      </c>
      <c r="C139" s="303">
        <v>7251</v>
      </c>
      <c r="D139" s="305" t="s">
        <v>126</v>
      </c>
      <c r="E139" s="333">
        <f>C139-C138</f>
        <v>2.799999999996544</v>
      </c>
      <c r="I139" s="352"/>
      <c r="O139" s="249"/>
      <c r="S139"/>
      <c r="T139"/>
      <c r="U139"/>
      <c r="V139"/>
      <c r="W139"/>
      <c r="X139"/>
      <c r="Y139"/>
      <c r="Z139"/>
      <c r="AA139"/>
      <c r="AB139"/>
      <c r="AC139"/>
      <c r="AD139"/>
      <c r="AE139"/>
      <c r="AF139"/>
    </row>
    <row r="140" spans="1:22" s="8" customFormat="1" ht="16.5" customHeight="1">
      <c r="A140" s="10"/>
      <c r="B140" s="353"/>
      <c r="C140" s="195"/>
      <c r="D140" s="196"/>
      <c r="E140" s="178"/>
      <c r="F140" s="126"/>
      <c r="G140" s="287"/>
      <c r="H140" s="126"/>
      <c r="I140" s="97"/>
      <c r="J140" s="288"/>
      <c r="K140" s="195"/>
      <c r="L140" s="351"/>
      <c r="M140" s="126"/>
      <c r="N140" s="195"/>
      <c r="O140" s="302"/>
      <c r="P140" s="126"/>
      <c r="Q140" s="97"/>
      <c r="R140" s="126"/>
      <c r="V140" s="97"/>
    </row>
    <row r="141" spans="1:22" s="8" customFormat="1" ht="16.5" customHeight="1">
      <c r="A141" s="10">
        <v>3</v>
      </c>
      <c r="B141" s="115" t="s">
        <v>355</v>
      </c>
      <c r="C141" s="354">
        <v>5503</v>
      </c>
      <c r="D141" s="196" t="s">
        <v>126</v>
      </c>
      <c r="E141" s="178"/>
      <c r="F141" s="126"/>
      <c r="G141" s="287"/>
      <c r="H141" s="126"/>
      <c r="I141" s="97"/>
      <c r="J141" s="288"/>
      <c r="K141" s="195"/>
      <c r="L141" s="351"/>
      <c r="M141" s="126"/>
      <c r="N141" s="195"/>
      <c r="O141" s="302"/>
      <c r="P141" s="126"/>
      <c r="Q141" s="97"/>
      <c r="R141" s="126"/>
      <c r="V141" s="97"/>
    </row>
    <row r="142" spans="1:22" s="8" customFormat="1" ht="16.5" customHeight="1">
      <c r="A142" s="10"/>
      <c r="B142" s="115" t="s">
        <v>356</v>
      </c>
      <c r="C142" s="354">
        <v>6654</v>
      </c>
      <c r="D142" s="196" t="s">
        <v>126</v>
      </c>
      <c r="E142" s="178"/>
      <c r="F142" s="178"/>
      <c r="G142" s="355"/>
      <c r="H142" s="126"/>
      <c r="I142" s="97"/>
      <c r="J142" s="288"/>
      <c r="K142" s="195"/>
      <c r="L142" s="351"/>
      <c r="M142" s="126"/>
      <c r="N142" s="195"/>
      <c r="O142" s="302"/>
      <c r="P142" s="126"/>
      <c r="Q142" s="97"/>
      <c r="R142" s="126"/>
      <c r="V142" s="97"/>
    </row>
    <row r="143" spans="1:22" s="8" customFormat="1" ht="16.5" customHeight="1">
      <c r="A143" s="10"/>
      <c r="B143" s="115" t="s">
        <v>357</v>
      </c>
      <c r="C143" s="207">
        <f>C142-C141</f>
        <v>1151</v>
      </c>
      <c r="D143" s="196" t="s">
        <v>126</v>
      </c>
      <c r="F143" s="126"/>
      <c r="G143" s="287"/>
      <c r="H143" s="126"/>
      <c r="I143" s="97"/>
      <c r="J143" s="288"/>
      <c r="K143" s="195"/>
      <c r="L143" s="351"/>
      <c r="M143" s="126"/>
      <c r="N143" s="195"/>
      <c r="O143" s="302"/>
      <c r="P143" s="126"/>
      <c r="Q143" s="97"/>
      <c r="R143" s="126"/>
      <c r="V143" s="97"/>
    </row>
    <row r="144" spans="1:22" s="8" customFormat="1" ht="16.5" customHeight="1">
      <c r="A144" s="10"/>
      <c r="B144" s="115" t="s">
        <v>358</v>
      </c>
      <c r="C144" s="126">
        <f>Oil_wt_2/Oil_density</f>
        <v>1325.5787170332835</v>
      </c>
      <c r="D144" s="196" t="s">
        <v>311</v>
      </c>
      <c r="F144" s="126"/>
      <c r="G144" s="287"/>
      <c r="H144" s="126"/>
      <c r="I144" s="97"/>
      <c r="J144" s="288"/>
      <c r="K144" s="195"/>
      <c r="L144" s="351"/>
      <c r="M144" s="126"/>
      <c r="N144" s="195"/>
      <c r="O144" s="302"/>
      <c r="P144" s="126"/>
      <c r="Q144" s="97"/>
      <c r="R144" s="126"/>
      <c r="V144" s="97"/>
    </row>
    <row r="145" spans="1:22" s="8" customFormat="1" ht="16.5" customHeight="1">
      <c r="A145" s="10"/>
      <c r="B145" s="356"/>
      <c r="C145" s="357"/>
      <c r="D145" s="243"/>
      <c r="E145" s="254"/>
      <c r="F145" s="193"/>
      <c r="G145" s="358"/>
      <c r="H145" s="126"/>
      <c r="I145" s="97"/>
      <c r="J145" s="288"/>
      <c r="K145" s="195"/>
      <c r="L145" s="359"/>
      <c r="M145" s="193"/>
      <c r="N145" s="360"/>
      <c r="O145" s="290"/>
      <c r="P145" s="193"/>
      <c r="Q145" s="195"/>
      <c r="R145" s="126"/>
      <c r="V145" s="97"/>
    </row>
    <row r="146" spans="1:22" s="8" customFormat="1" ht="16.5" customHeight="1">
      <c r="A146" s="10">
        <v>3</v>
      </c>
      <c r="B146" s="361" t="s">
        <v>359</v>
      </c>
      <c r="C146" s="195">
        <v>55480</v>
      </c>
      <c r="D146" s="196"/>
      <c r="E146" s="206"/>
      <c r="F146" s="126"/>
      <c r="G146" s="299"/>
      <c r="H146" s="126"/>
      <c r="I146" s="97"/>
      <c r="J146" s="320"/>
      <c r="K146" s="97"/>
      <c r="L146" s="301"/>
      <c r="M146" s="126"/>
      <c r="N146" s="97"/>
      <c r="O146" s="302"/>
      <c r="P146" s="126"/>
      <c r="Q146" s="97"/>
      <c r="R146" s="126"/>
      <c r="V146" s="97"/>
    </row>
    <row r="147" spans="1:22" s="8" customFormat="1" ht="16.5" customHeight="1">
      <c r="A147" s="10"/>
      <c r="B147" s="6" t="s">
        <v>218</v>
      </c>
      <c r="C147" s="126">
        <f>(SUM(F149:F194))+E175-F175</f>
        <v>3960.6000000000013</v>
      </c>
      <c r="D147" s="196" t="s">
        <v>126</v>
      </c>
      <c r="E147" s="322" t="s">
        <v>312</v>
      </c>
      <c r="F147" s="126"/>
      <c r="G147" s="299"/>
      <c r="H147" s="126"/>
      <c r="I147" s="97"/>
      <c r="J147" s="320"/>
      <c r="K147" s="97"/>
      <c r="L147" s="301"/>
      <c r="M147" s="126"/>
      <c r="N147" s="97"/>
      <c r="O147" s="302"/>
      <c r="P147" s="126"/>
      <c r="Q147" s="97"/>
      <c r="R147" s="126"/>
      <c r="V147" s="97"/>
    </row>
    <row r="148" spans="1:22" s="8" customFormat="1" ht="16.5" customHeight="1">
      <c r="A148" s="10"/>
      <c r="B148" s="6" t="s">
        <v>207</v>
      </c>
      <c r="C148" s="206">
        <v>3963.4</v>
      </c>
      <c r="D148" s="196" t="s">
        <v>126</v>
      </c>
      <c r="E148" s="333">
        <f>C148-C147</f>
        <v>2.7999999999988177</v>
      </c>
      <c r="F148" s="126"/>
      <c r="G148" s="299"/>
      <c r="H148" s="126"/>
      <c r="I148" s="97"/>
      <c r="J148" s="320"/>
      <c r="K148" s="97"/>
      <c r="L148" s="301"/>
      <c r="M148" s="126"/>
      <c r="N148" s="97"/>
      <c r="O148" s="302"/>
      <c r="P148" s="126"/>
      <c r="Q148" s="97"/>
      <c r="R148" s="126"/>
      <c r="V148" s="97"/>
    </row>
    <row r="149" spans="1:22" s="8" customFormat="1" ht="16.5" customHeight="1">
      <c r="A149" s="10">
        <v>4</v>
      </c>
      <c r="B149" s="112" t="s">
        <v>360</v>
      </c>
      <c r="C149" s="362" t="s">
        <v>361</v>
      </c>
      <c r="D149" s="298">
        <v>1</v>
      </c>
      <c r="E149" s="206">
        <v>2033.2</v>
      </c>
      <c r="F149" s="126">
        <f aca="true" t="shared" si="30" ref="F149:F174">E149*D149</f>
        <v>2033.2</v>
      </c>
      <c r="G149" s="299">
        <v>50.014</v>
      </c>
      <c r="H149" s="126">
        <f aca="true" t="shared" si="31" ref="H149:H194">G149*2.54</f>
        <v>127.03556</v>
      </c>
      <c r="I149" s="97">
        <f aca="true" t="shared" si="32" ref="I149:I194">F149*H149</f>
        <v>258288.700592</v>
      </c>
      <c r="J149" s="293">
        <v>2885</v>
      </c>
      <c r="K149" s="97">
        <f aca="true" t="shared" si="33" ref="K149:K194">J149*D149</f>
        <v>2885</v>
      </c>
      <c r="L149" s="301">
        <v>49.752</v>
      </c>
      <c r="M149" s="126">
        <f aca="true" t="shared" si="34" ref="M149:M194">L149*2.54</f>
        <v>126.37008</v>
      </c>
      <c r="N149" s="97">
        <f aca="true" t="shared" si="35" ref="N149:N173">K149*M149</f>
        <v>364577.68080000003</v>
      </c>
      <c r="O149" s="302">
        <v>0</v>
      </c>
      <c r="P149" s="126">
        <f aca="true" t="shared" si="36" ref="P149:P194">O149*2.54</f>
        <v>0</v>
      </c>
      <c r="Q149" s="97">
        <f aca="true" t="shared" si="37" ref="Q149:Q194">F149*P149</f>
        <v>0</v>
      </c>
      <c r="R149" s="126">
        <f aca="true" t="shared" si="38" ref="R149:R194">K149*P149</f>
        <v>0</v>
      </c>
      <c r="V149" s="97"/>
    </row>
    <row r="150" spans="1:22" s="8" customFormat="1" ht="16.5" customHeight="1">
      <c r="A150" s="10">
        <v>4</v>
      </c>
      <c r="B150" s="112" t="s">
        <v>362</v>
      </c>
      <c r="C150" s="10">
        <v>55248</v>
      </c>
      <c r="D150" s="298">
        <v>1</v>
      </c>
      <c r="E150" s="206">
        <v>1</v>
      </c>
      <c r="F150" s="126">
        <f t="shared" si="30"/>
        <v>1</v>
      </c>
      <c r="G150" s="299">
        <v>48.41</v>
      </c>
      <c r="H150" s="126">
        <f t="shared" si="31"/>
        <v>122.9614</v>
      </c>
      <c r="I150" s="97">
        <f t="shared" si="32"/>
        <v>122.9614</v>
      </c>
      <c r="J150" s="300">
        <v>0</v>
      </c>
      <c r="K150" s="97">
        <f t="shared" si="33"/>
        <v>0</v>
      </c>
      <c r="L150" s="301">
        <f aca="true" t="shared" si="39" ref="L150:L174">G150</f>
        <v>48.41</v>
      </c>
      <c r="M150" s="126">
        <f t="shared" si="34"/>
        <v>122.9614</v>
      </c>
      <c r="N150" s="97">
        <f t="shared" si="35"/>
        <v>0</v>
      </c>
      <c r="O150" s="302">
        <v>0</v>
      </c>
      <c r="P150" s="126">
        <f t="shared" si="36"/>
        <v>0</v>
      </c>
      <c r="Q150" s="97">
        <f t="shared" si="37"/>
        <v>0</v>
      </c>
      <c r="R150" s="126">
        <f t="shared" si="38"/>
        <v>0</v>
      </c>
      <c r="V150" s="97"/>
    </row>
    <row r="151" spans="1:22" s="8" customFormat="1" ht="16.5" customHeight="1">
      <c r="A151" s="10">
        <v>4</v>
      </c>
      <c r="B151" s="112" t="s">
        <v>363</v>
      </c>
      <c r="C151" s="362" t="s">
        <v>364</v>
      </c>
      <c r="D151" s="298">
        <v>1</v>
      </c>
      <c r="E151" s="206">
        <v>8.3</v>
      </c>
      <c r="F151" s="126">
        <f t="shared" si="30"/>
        <v>8.3</v>
      </c>
      <c r="G151" s="299">
        <v>49.3</v>
      </c>
      <c r="H151" s="126">
        <f t="shared" si="31"/>
        <v>125.222</v>
      </c>
      <c r="I151" s="97">
        <f t="shared" si="32"/>
        <v>1039.3426</v>
      </c>
      <c r="J151" s="300">
        <v>0</v>
      </c>
      <c r="K151" s="97">
        <f t="shared" si="33"/>
        <v>0</v>
      </c>
      <c r="L151" s="301">
        <f t="shared" si="39"/>
        <v>49.3</v>
      </c>
      <c r="M151" s="126">
        <f t="shared" si="34"/>
        <v>125.222</v>
      </c>
      <c r="N151" s="97">
        <f t="shared" si="35"/>
        <v>0</v>
      </c>
      <c r="O151" s="302">
        <v>0</v>
      </c>
      <c r="P151" s="126">
        <f t="shared" si="36"/>
        <v>0</v>
      </c>
      <c r="Q151" s="97">
        <f t="shared" si="37"/>
        <v>0</v>
      </c>
      <c r="R151" s="126">
        <f t="shared" si="38"/>
        <v>0</v>
      </c>
      <c r="V151" s="97"/>
    </row>
    <row r="152" spans="1:22" s="8" customFormat="1" ht="16.5" customHeight="1">
      <c r="A152" s="10">
        <v>4</v>
      </c>
      <c r="B152" s="363" t="s">
        <v>365</v>
      </c>
      <c r="C152" s="362" t="s">
        <v>366</v>
      </c>
      <c r="D152" s="298">
        <v>1</v>
      </c>
      <c r="E152" s="206">
        <v>27.6</v>
      </c>
      <c r="F152" s="126">
        <f t="shared" si="30"/>
        <v>27.6</v>
      </c>
      <c r="G152" s="299">
        <v>49.3</v>
      </c>
      <c r="H152" s="126">
        <f t="shared" si="31"/>
        <v>125.222</v>
      </c>
      <c r="I152" s="97">
        <f t="shared" si="32"/>
        <v>3456.1272</v>
      </c>
      <c r="J152" s="300">
        <v>0</v>
      </c>
      <c r="K152" s="97">
        <f t="shared" si="33"/>
        <v>0</v>
      </c>
      <c r="L152" s="301">
        <f t="shared" si="39"/>
        <v>49.3</v>
      </c>
      <c r="M152" s="126">
        <f t="shared" si="34"/>
        <v>125.222</v>
      </c>
      <c r="N152" s="97">
        <f t="shared" si="35"/>
        <v>0</v>
      </c>
      <c r="O152" s="302">
        <v>0.5</v>
      </c>
      <c r="P152" s="126">
        <f t="shared" si="36"/>
        <v>1.27</v>
      </c>
      <c r="Q152" s="97">
        <f t="shared" si="37"/>
        <v>35.052</v>
      </c>
      <c r="R152" s="126">
        <f t="shared" si="38"/>
        <v>0</v>
      </c>
      <c r="V152" s="97"/>
    </row>
    <row r="153" spans="1:22" s="8" customFormat="1" ht="16.5" customHeight="1">
      <c r="A153" s="10">
        <v>4</v>
      </c>
      <c r="B153" s="363" t="s">
        <v>367</v>
      </c>
      <c r="C153" s="362" t="s">
        <v>368</v>
      </c>
      <c r="D153" s="298">
        <v>1</v>
      </c>
      <c r="E153" s="206">
        <v>612.5</v>
      </c>
      <c r="F153" s="126">
        <f t="shared" si="30"/>
        <v>612.5</v>
      </c>
      <c r="G153" s="299">
        <v>49.02</v>
      </c>
      <c r="H153" s="126">
        <f t="shared" si="31"/>
        <v>124.5108</v>
      </c>
      <c r="I153" s="97">
        <f t="shared" si="32"/>
        <v>76262.865</v>
      </c>
      <c r="J153" s="300">
        <v>0</v>
      </c>
      <c r="K153" s="97">
        <f t="shared" si="33"/>
        <v>0</v>
      </c>
      <c r="L153" s="301">
        <f t="shared" si="39"/>
        <v>49.02</v>
      </c>
      <c r="M153" s="126">
        <f t="shared" si="34"/>
        <v>124.5108</v>
      </c>
      <c r="N153" s="97">
        <f t="shared" si="35"/>
        <v>0</v>
      </c>
      <c r="O153" s="302">
        <v>0.6</v>
      </c>
      <c r="P153" s="126">
        <f t="shared" si="36"/>
        <v>1.524</v>
      </c>
      <c r="Q153" s="97">
        <f t="shared" si="37"/>
        <v>933.45</v>
      </c>
      <c r="R153" s="126">
        <f t="shared" si="38"/>
        <v>0</v>
      </c>
      <c r="V153" s="97"/>
    </row>
    <row r="154" spans="1:22" s="8" customFormat="1" ht="16.5" customHeight="1">
      <c r="A154" s="10">
        <v>4</v>
      </c>
      <c r="B154" s="363" t="s">
        <v>369</v>
      </c>
      <c r="C154" s="362" t="s">
        <v>370</v>
      </c>
      <c r="D154" s="298">
        <v>1</v>
      </c>
      <c r="E154" s="206">
        <v>10.6</v>
      </c>
      <c r="F154" s="126">
        <f t="shared" si="30"/>
        <v>10.6</v>
      </c>
      <c r="G154" s="299">
        <v>50.43</v>
      </c>
      <c r="H154" s="126">
        <f t="shared" si="31"/>
        <v>128.0922</v>
      </c>
      <c r="I154" s="97">
        <f t="shared" si="32"/>
        <v>1357.77732</v>
      </c>
      <c r="J154" s="300">
        <v>0</v>
      </c>
      <c r="K154" s="97">
        <f t="shared" si="33"/>
        <v>0</v>
      </c>
      <c r="L154" s="301">
        <f t="shared" si="39"/>
        <v>50.43</v>
      </c>
      <c r="M154" s="126">
        <f t="shared" si="34"/>
        <v>128.0922</v>
      </c>
      <c r="N154" s="97">
        <f t="shared" si="35"/>
        <v>0</v>
      </c>
      <c r="O154" s="302">
        <v>0.5</v>
      </c>
      <c r="P154" s="126">
        <f t="shared" si="36"/>
        <v>1.27</v>
      </c>
      <c r="Q154" s="97">
        <f t="shared" si="37"/>
        <v>13.462</v>
      </c>
      <c r="R154" s="126">
        <f t="shared" si="38"/>
        <v>0</v>
      </c>
      <c r="V154" s="97"/>
    </row>
    <row r="155" spans="1:22" s="8" customFormat="1" ht="16.5" customHeight="1">
      <c r="A155" s="10">
        <v>4</v>
      </c>
      <c r="B155" s="112" t="s">
        <v>371</v>
      </c>
      <c r="C155" s="362" t="s">
        <v>372</v>
      </c>
      <c r="D155" s="298">
        <v>1</v>
      </c>
      <c r="E155" s="206">
        <v>19</v>
      </c>
      <c r="F155" s="126">
        <f t="shared" si="30"/>
        <v>19</v>
      </c>
      <c r="G155" s="299">
        <v>48.79</v>
      </c>
      <c r="H155" s="126">
        <f t="shared" si="31"/>
        <v>123.9266</v>
      </c>
      <c r="I155" s="97">
        <f t="shared" si="32"/>
        <v>2354.6054</v>
      </c>
      <c r="J155" s="300">
        <v>0</v>
      </c>
      <c r="K155" s="97">
        <f t="shared" si="33"/>
        <v>0</v>
      </c>
      <c r="L155" s="301">
        <f t="shared" si="39"/>
        <v>48.79</v>
      </c>
      <c r="M155" s="126">
        <f t="shared" si="34"/>
        <v>123.9266</v>
      </c>
      <c r="N155" s="97">
        <f t="shared" si="35"/>
        <v>0</v>
      </c>
      <c r="O155" s="302">
        <v>-0.5</v>
      </c>
      <c r="P155" s="126">
        <f t="shared" si="36"/>
        <v>-1.27</v>
      </c>
      <c r="Q155" s="97">
        <f t="shared" si="37"/>
        <v>-24.13</v>
      </c>
      <c r="R155" s="126">
        <f t="shared" si="38"/>
        <v>0</v>
      </c>
      <c r="V155" s="97"/>
    </row>
    <row r="156" spans="1:22" s="8" customFormat="1" ht="16.5" customHeight="1">
      <c r="A156" s="10">
        <v>4</v>
      </c>
      <c r="B156" s="112" t="s">
        <v>373</v>
      </c>
      <c r="C156" s="362" t="s">
        <v>374</v>
      </c>
      <c r="D156" s="298">
        <v>1</v>
      </c>
      <c r="E156" s="206">
        <v>3.3</v>
      </c>
      <c r="F156" s="126">
        <f t="shared" si="30"/>
        <v>3.3</v>
      </c>
      <c r="G156" s="299">
        <v>47</v>
      </c>
      <c r="H156" s="126">
        <f t="shared" si="31"/>
        <v>119.38</v>
      </c>
      <c r="I156" s="97">
        <f t="shared" si="32"/>
        <v>393.95399999999995</v>
      </c>
      <c r="J156" s="300">
        <v>0</v>
      </c>
      <c r="K156" s="97">
        <f t="shared" si="33"/>
        <v>0</v>
      </c>
      <c r="L156" s="301">
        <f t="shared" si="39"/>
        <v>47</v>
      </c>
      <c r="M156" s="126">
        <f t="shared" si="34"/>
        <v>119.38</v>
      </c>
      <c r="N156" s="97">
        <f t="shared" si="35"/>
        <v>0</v>
      </c>
      <c r="O156" s="302">
        <v>0</v>
      </c>
      <c r="P156" s="126">
        <f t="shared" si="36"/>
        <v>0</v>
      </c>
      <c r="Q156" s="97">
        <f t="shared" si="37"/>
        <v>0</v>
      </c>
      <c r="R156" s="126">
        <f t="shared" si="38"/>
        <v>0</v>
      </c>
      <c r="V156" s="97"/>
    </row>
    <row r="157" spans="1:22" s="8" customFormat="1" ht="16.5" customHeight="1">
      <c r="A157" s="10">
        <v>4</v>
      </c>
      <c r="B157" s="112" t="s">
        <v>375</v>
      </c>
      <c r="C157" s="362" t="s">
        <v>374</v>
      </c>
      <c r="D157" s="298">
        <v>1</v>
      </c>
      <c r="E157" s="206">
        <v>2.5</v>
      </c>
      <c r="F157" s="126">
        <f t="shared" si="30"/>
        <v>2.5</v>
      </c>
      <c r="G157" s="299">
        <v>47</v>
      </c>
      <c r="H157" s="126">
        <f t="shared" si="31"/>
        <v>119.38</v>
      </c>
      <c r="I157" s="97">
        <f t="shared" si="32"/>
        <v>298.45</v>
      </c>
      <c r="J157" s="300">
        <v>0</v>
      </c>
      <c r="K157" s="97">
        <f t="shared" si="33"/>
        <v>0</v>
      </c>
      <c r="L157" s="301">
        <f t="shared" si="39"/>
        <v>47</v>
      </c>
      <c r="M157" s="126">
        <f t="shared" si="34"/>
        <v>119.38</v>
      </c>
      <c r="N157" s="97">
        <f t="shared" si="35"/>
        <v>0</v>
      </c>
      <c r="O157" s="302">
        <v>0</v>
      </c>
      <c r="P157" s="126">
        <f t="shared" si="36"/>
        <v>0</v>
      </c>
      <c r="Q157" s="97">
        <f t="shared" si="37"/>
        <v>0</v>
      </c>
      <c r="R157" s="126">
        <f t="shared" si="38"/>
        <v>0</v>
      </c>
      <c r="V157" s="97"/>
    </row>
    <row r="158" spans="1:22" s="8" customFormat="1" ht="16.5" customHeight="1">
      <c r="A158" s="10">
        <v>4</v>
      </c>
      <c r="B158" s="112" t="s">
        <v>376</v>
      </c>
      <c r="C158" s="362" t="s">
        <v>377</v>
      </c>
      <c r="D158" s="298">
        <v>1</v>
      </c>
      <c r="E158" s="206">
        <v>22.8</v>
      </c>
      <c r="F158" s="126">
        <f t="shared" si="30"/>
        <v>22.8</v>
      </c>
      <c r="G158" s="299">
        <v>49.1</v>
      </c>
      <c r="H158" s="126">
        <f t="shared" si="31"/>
        <v>124.714</v>
      </c>
      <c r="I158" s="97">
        <f t="shared" si="32"/>
        <v>2843.4792</v>
      </c>
      <c r="J158" s="300">
        <v>0</v>
      </c>
      <c r="K158" s="97">
        <f t="shared" si="33"/>
        <v>0</v>
      </c>
      <c r="L158" s="301">
        <f t="shared" si="39"/>
        <v>49.1</v>
      </c>
      <c r="M158" s="126">
        <f t="shared" si="34"/>
        <v>124.714</v>
      </c>
      <c r="N158" s="97">
        <f t="shared" si="35"/>
        <v>0</v>
      </c>
      <c r="O158" s="302">
        <v>-0.5</v>
      </c>
      <c r="P158" s="126">
        <f t="shared" si="36"/>
        <v>-1.27</v>
      </c>
      <c r="Q158" s="97">
        <f t="shared" si="37"/>
        <v>-28.956000000000003</v>
      </c>
      <c r="R158" s="126">
        <f t="shared" si="38"/>
        <v>0</v>
      </c>
      <c r="V158" s="97"/>
    </row>
    <row r="159" spans="1:22" s="8" customFormat="1" ht="16.5" customHeight="1">
      <c r="A159" s="10">
        <v>4</v>
      </c>
      <c r="B159" s="112" t="s">
        <v>378</v>
      </c>
      <c r="C159" s="362" t="s">
        <v>379</v>
      </c>
      <c r="D159" s="298">
        <v>1</v>
      </c>
      <c r="E159" s="206">
        <v>16.3</v>
      </c>
      <c r="F159" s="126">
        <f t="shared" si="30"/>
        <v>16.3</v>
      </c>
      <c r="G159" s="299">
        <v>50.43</v>
      </c>
      <c r="H159" s="126">
        <f t="shared" si="31"/>
        <v>128.0922</v>
      </c>
      <c r="I159" s="97">
        <f t="shared" si="32"/>
        <v>2087.90286</v>
      </c>
      <c r="J159" s="300">
        <v>0</v>
      </c>
      <c r="K159" s="97">
        <f t="shared" si="33"/>
        <v>0</v>
      </c>
      <c r="L159" s="301">
        <f t="shared" si="39"/>
        <v>50.43</v>
      </c>
      <c r="M159" s="126">
        <f t="shared" si="34"/>
        <v>128.0922</v>
      </c>
      <c r="N159" s="97">
        <f t="shared" si="35"/>
        <v>0</v>
      </c>
      <c r="O159" s="302">
        <v>-0.5</v>
      </c>
      <c r="P159" s="126">
        <f t="shared" si="36"/>
        <v>-1.27</v>
      </c>
      <c r="Q159" s="97">
        <f t="shared" si="37"/>
        <v>-20.701</v>
      </c>
      <c r="R159" s="126">
        <f t="shared" si="38"/>
        <v>0</v>
      </c>
      <c r="V159" s="97"/>
    </row>
    <row r="160" spans="1:22" s="8" customFormat="1" ht="16.5" customHeight="1">
      <c r="A160" s="10">
        <v>4</v>
      </c>
      <c r="B160" s="112" t="s">
        <v>380</v>
      </c>
      <c r="C160" s="362" t="s">
        <v>374</v>
      </c>
      <c r="D160" s="298">
        <v>1</v>
      </c>
      <c r="E160" s="206">
        <v>3.9</v>
      </c>
      <c r="F160" s="126">
        <f t="shared" si="30"/>
        <v>3.9</v>
      </c>
      <c r="G160" s="299">
        <v>47</v>
      </c>
      <c r="H160" s="126">
        <f t="shared" si="31"/>
        <v>119.38</v>
      </c>
      <c r="I160" s="97">
        <f t="shared" si="32"/>
        <v>465.582</v>
      </c>
      <c r="J160" s="300">
        <v>0</v>
      </c>
      <c r="K160" s="97">
        <f t="shared" si="33"/>
        <v>0</v>
      </c>
      <c r="L160" s="301">
        <f t="shared" si="39"/>
        <v>47</v>
      </c>
      <c r="M160" s="126">
        <f t="shared" si="34"/>
        <v>119.38</v>
      </c>
      <c r="N160" s="97">
        <f t="shared" si="35"/>
        <v>0</v>
      </c>
      <c r="O160" s="302">
        <v>0</v>
      </c>
      <c r="P160" s="126">
        <f t="shared" si="36"/>
        <v>0</v>
      </c>
      <c r="Q160" s="97">
        <f t="shared" si="37"/>
        <v>0</v>
      </c>
      <c r="R160" s="126">
        <f t="shared" si="38"/>
        <v>0</v>
      </c>
      <c r="V160" s="97"/>
    </row>
    <row r="161" spans="1:22" s="8" customFormat="1" ht="16.5" customHeight="1">
      <c r="A161" s="10">
        <v>4</v>
      </c>
      <c r="B161" s="363" t="s">
        <v>381</v>
      </c>
      <c r="C161" s="362" t="s">
        <v>382</v>
      </c>
      <c r="D161" s="298">
        <v>1</v>
      </c>
      <c r="E161" s="206">
        <v>19</v>
      </c>
      <c r="F161" s="126">
        <f t="shared" si="30"/>
        <v>19</v>
      </c>
      <c r="G161" s="299">
        <v>49.3</v>
      </c>
      <c r="H161" s="126">
        <f t="shared" si="31"/>
        <v>125.222</v>
      </c>
      <c r="I161" s="97">
        <f t="shared" si="32"/>
        <v>2379.218</v>
      </c>
      <c r="J161" s="300">
        <v>0</v>
      </c>
      <c r="K161" s="97">
        <f t="shared" si="33"/>
        <v>0</v>
      </c>
      <c r="L161" s="301">
        <f t="shared" si="39"/>
        <v>49.3</v>
      </c>
      <c r="M161" s="126">
        <f t="shared" si="34"/>
        <v>125.222</v>
      </c>
      <c r="N161" s="97">
        <f t="shared" si="35"/>
        <v>0</v>
      </c>
      <c r="O161" s="302">
        <v>0</v>
      </c>
      <c r="P161" s="126">
        <f t="shared" si="36"/>
        <v>0</v>
      </c>
      <c r="Q161" s="97">
        <f t="shared" si="37"/>
        <v>0</v>
      </c>
      <c r="R161" s="126">
        <f t="shared" si="38"/>
        <v>0</v>
      </c>
      <c r="V161" s="97"/>
    </row>
    <row r="162" spans="1:22" s="8" customFormat="1" ht="16.5" customHeight="1">
      <c r="A162" s="10">
        <v>4</v>
      </c>
      <c r="B162" s="112" t="s">
        <v>383</v>
      </c>
      <c r="C162" s="362" t="s">
        <v>374</v>
      </c>
      <c r="D162" s="298">
        <v>1</v>
      </c>
      <c r="E162" s="206">
        <v>1.8</v>
      </c>
      <c r="F162" s="126">
        <f t="shared" si="30"/>
        <v>1.8</v>
      </c>
      <c r="G162" s="299">
        <v>47</v>
      </c>
      <c r="H162" s="126">
        <f t="shared" si="31"/>
        <v>119.38</v>
      </c>
      <c r="I162" s="97">
        <f t="shared" si="32"/>
        <v>214.884</v>
      </c>
      <c r="J162" s="300">
        <v>0</v>
      </c>
      <c r="K162" s="97">
        <f t="shared" si="33"/>
        <v>0</v>
      </c>
      <c r="L162" s="301">
        <f t="shared" si="39"/>
        <v>47</v>
      </c>
      <c r="M162" s="126">
        <f t="shared" si="34"/>
        <v>119.38</v>
      </c>
      <c r="N162" s="97">
        <f t="shared" si="35"/>
        <v>0</v>
      </c>
      <c r="O162" s="302">
        <v>0</v>
      </c>
      <c r="P162" s="126">
        <f t="shared" si="36"/>
        <v>0</v>
      </c>
      <c r="Q162" s="97">
        <f t="shared" si="37"/>
        <v>0</v>
      </c>
      <c r="R162" s="126">
        <f t="shared" si="38"/>
        <v>0</v>
      </c>
      <c r="V162" s="97"/>
    </row>
    <row r="163" spans="1:22" s="8" customFormat="1" ht="16.5" customHeight="1">
      <c r="A163" s="10">
        <v>4</v>
      </c>
      <c r="B163" s="112" t="s">
        <v>384</v>
      </c>
      <c r="C163" s="10">
        <v>52350</v>
      </c>
      <c r="D163" s="298">
        <v>1</v>
      </c>
      <c r="E163" s="206">
        <v>0.9</v>
      </c>
      <c r="F163" s="126">
        <f t="shared" si="30"/>
        <v>0.9</v>
      </c>
      <c r="G163" s="299">
        <v>50.9</v>
      </c>
      <c r="H163" s="126">
        <f t="shared" si="31"/>
        <v>129.286</v>
      </c>
      <c r="I163" s="97">
        <f t="shared" si="32"/>
        <v>116.3574</v>
      </c>
      <c r="J163" s="300">
        <v>0</v>
      </c>
      <c r="K163" s="97">
        <f t="shared" si="33"/>
        <v>0</v>
      </c>
      <c r="L163" s="301">
        <f t="shared" si="39"/>
        <v>50.9</v>
      </c>
      <c r="M163" s="126">
        <f t="shared" si="34"/>
        <v>129.286</v>
      </c>
      <c r="N163" s="97">
        <f t="shared" si="35"/>
        <v>0</v>
      </c>
      <c r="O163" s="302">
        <v>0</v>
      </c>
      <c r="P163" s="126">
        <f t="shared" si="36"/>
        <v>0</v>
      </c>
      <c r="Q163" s="97">
        <f t="shared" si="37"/>
        <v>0</v>
      </c>
      <c r="R163" s="126">
        <f t="shared" si="38"/>
        <v>0</v>
      </c>
      <c r="V163" s="97"/>
    </row>
    <row r="164" spans="1:22" s="8" customFormat="1" ht="16.5" customHeight="1">
      <c r="A164" s="10">
        <v>4</v>
      </c>
      <c r="B164" s="112" t="s">
        <v>385</v>
      </c>
      <c r="C164" s="10">
        <v>52349</v>
      </c>
      <c r="D164" s="298">
        <v>1</v>
      </c>
      <c r="E164" s="206">
        <v>7.7</v>
      </c>
      <c r="F164" s="126">
        <f t="shared" si="30"/>
        <v>7.7</v>
      </c>
      <c r="G164" s="299">
        <v>51.04</v>
      </c>
      <c r="H164" s="126">
        <f t="shared" si="31"/>
        <v>129.6416</v>
      </c>
      <c r="I164" s="97">
        <f t="shared" si="32"/>
        <v>998.2403200000001</v>
      </c>
      <c r="J164" s="300">
        <v>0</v>
      </c>
      <c r="K164" s="97">
        <f t="shared" si="33"/>
        <v>0</v>
      </c>
      <c r="L164" s="301">
        <f t="shared" si="39"/>
        <v>51.04</v>
      </c>
      <c r="M164" s="126">
        <f t="shared" si="34"/>
        <v>129.6416</v>
      </c>
      <c r="N164" s="97">
        <f t="shared" si="35"/>
        <v>0</v>
      </c>
      <c r="O164" s="302">
        <v>0</v>
      </c>
      <c r="P164" s="126">
        <f t="shared" si="36"/>
        <v>0</v>
      </c>
      <c r="Q164" s="97">
        <f t="shared" si="37"/>
        <v>0</v>
      </c>
      <c r="R164" s="126">
        <f t="shared" si="38"/>
        <v>0</v>
      </c>
      <c r="V164" s="97"/>
    </row>
    <row r="165" spans="1:22" s="8" customFormat="1" ht="16.5" customHeight="1">
      <c r="A165" s="10">
        <v>4</v>
      </c>
      <c r="B165" s="112" t="s">
        <v>499</v>
      </c>
      <c r="C165" s="362" t="s">
        <v>500</v>
      </c>
      <c r="D165" s="298">
        <v>1</v>
      </c>
      <c r="E165" s="206">
        <v>319.1</v>
      </c>
      <c r="F165" s="126">
        <f t="shared" si="30"/>
        <v>319.1</v>
      </c>
      <c r="G165" s="299">
        <v>49.58</v>
      </c>
      <c r="H165" s="126">
        <f t="shared" si="31"/>
        <v>125.9332</v>
      </c>
      <c r="I165" s="97">
        <f t="shared" si="32"/>
        <v>40185.284120000004</v>
      </c>
      <c r="J165" s="300">
        <v>0</v>
      </c>
      <c r="K165" s="97">
        <f t="shared" si="33"/>
        <v>0</v>
      </c>
      <c r="L165" s="301">
        <f t="shared" si="39"/>
        <v>49.58</v>
      </c>
      <c r="M165" s="126">
        <f t="shared" si="34"/>
        <v>125.9332</v>
      </c>
      <c r="N165" s="97">
        <f t="shared" si="35"/>
        <v>0</v>
      </c>
      <c r="O165" s="302">
        <v>0</v>
      </c>
      <c r="P165" s="126">
        <f t="shared" si="36"/>
        <v>0</v>
      </c>
      <c r="Q165" s="97">
        <f t="shared" si="37"/>
        <v>0</v>
      </c>
      <c r="R165" s="126">
        <f t="shared" si="38"/>
        <v>0</v>
      </c>
      <c r="V165" s="97"/>
    </row>
    <row r="166" spans="1:22" s="8" customFormat="1" ht="16.5" customHeight="1">
      <c r="A166" s="10">
        <v>4</v>
      </c>
      <c r="B166" s="363" t="s">
        <v>501</v>
      </c>
      <c r="C166" s="10">
        <v>49803</v>
      </c>
      <c r="D166" s="298">
        <v>1</v>
      </c>
      <c r="E166" s="206">
        <v>110.6</v>
      </c>
      <c r="F166" s="126">
        <f t="shared" si="30"/>
        <v>110.6</v>
      </c>
      <c r="G166" s="299">
        <v>47.72</v>
      </c>
      <c r="H166" s="126">
        <f t="shared" si="31"/>
        <v>121.2088</v>
      </c>
      <c r="I166" s="97">
        <f t="shared" si="32"/>
        <v>13405.69328</v>
      </c>
      <c r="J166" s="300">
        <v>0</v>
      </c>
      <c r="K166" s="97">
        <f t="shared" si="33"/>
        <v>0</v>
      </c>
      <c r="L166" s="301">
        <f t="shared" si="39"/>
        <v>47.72</v>
      </c>
      <c r="M166" s="126">
        <f t="shared" si="34"/>
        <v>121.2088</v>
      </c>
      <c r="N166" s="97">
        <f t="shared" si="35"/>
        <v>0</v>
      </c>
      <c r="O166" s="302">
        <v>0</v>
      </c>
      <c r="P166" s="126">
        <f t="shared" si="36"/>
        <v>0</v>
      </c>
      <c r="Q166" s="97">
        <f t="shared" si="37"/>
        <v>0</v>
      </c>
      <c r="R166" s="126">
        <f t="shared" si="38"/>
        <v>0</v>
      </c>
      <c r="V166" s="97"/>
    </row>
    <row r="167" spans="1:22" s="8" customFormat="1" ht="16.5" customHeight="1">
      <c r="A167" s="10">
        <v>4</v>
      </c>
      <c r="B167" s="112" t="s">
        <v>502</v>
      </c>
      <c r="C167" s="362" t="s">
        <v>503</v>
      </c>
      <c r="D167" s="298">
        <v>1</v>
      </c>
      <c r="E167" s="206">
        <v>3.1</v>
      </c>
      <c r="F167" s="126">
        <f t="shared" si="30"/>
        <v>3.1</v>
      </c>
      <c r="G167" s="299">
        <v>47.69</v>
      </c>
      <c r="H167" s="126">
        <f t="shared" si="31"/>
        <v>121.1326</v>
      </c>
      <c r="I167" s="97">
        <f t="shared" si="32"/>
        <v>375.51106</v>
      </c>
      <c r="J167" s="300">
        <v>0</v>
      </c>
      <c r="K167" s="97">
        <f t="shared" si="33"/>
        <v>0</v>
      </c>
      <c r="L167" s="301">
        <f t="shared" si="39"/>
        <v>47.69</v>
      </c>
      <c r="M167" s="126">
        <f t="shared" si="34"/>
        <v>121.1326</v>
      </c>
      <c r="N167" s="97">
        <f t="shared" si="35"/>
        <v>0</v>
      </c>
      <c r="O167" s="302">
        <v>0</v>
      </c>
      <c r="P167" s="126">
        <f t="shared" si="36"/>
        <v>0</v>
      </c>
      <c r="Q167" s="97">
        <f t="shared" si="37"/>
        <v>0</v>
      </c>
      <c r="R167" s="126">
        <f t="shared" si="38"/>
        <v>0</v>
      </c>
      <c r="V167" s="97"/>
    </row>
    <row r="168" spans="1:22" s="8" customFormat="1" ht="16.5" customHeight="1">
      <c r="A168" s="10">
        <v>4</v>
      </c>
      <c r="B168" s="363" t="s">
        <v>504</v>
      </c>
      <c r="C168" s="362" t="s">
        <v>505</v>
      </c>
      <c r="D168" s="298">
        <v>1</v>
      </c>
      <c r="E168" s="206">
        <v>0.5</v>
      </c>
      <c r="F168" s="126">
        <f t="shared" si="30"/>
        <v>0.5</v>
      </c>
      <c r="G168" s="299">
        <v>48.23</v>
      </c>
      <c r="H168" s="126">
        <f t="shared" si="31"/>
        <v>122.5042</v>
      </c>
      <c r="I168" s="97">
        <f t="shared" si="32"/>
        <v>61.2521</v>
      </c>
      <c r="J168" s="300">
        <v>0</v>
      </c>
      <c r="K168" s="97">
        <f t="shared" si="33"/>
        <v>0</v>
      </c>
      <c r="L168" s="301">
        <f t="shared" si="39"/>
        <v>48.23</v>
      </c>
      <c r="M168" s="126">
        <f t="shared" si="34"/>
        <v>122.5042</v>
      </c>
      <c r="N168" s="97">
        <f t="shared" si="35"/>
        <v>0</v>
      </c>
      <c r="O168" s="302">
        <v>0</v>
      </c>
      <c r="P168" s="126">
        <f t="shared" si="36"/>
        <v>0</v>
      </c>
      <c r="Q168" s="97">
        <f t="shared" si="37"/>
        <v>0</v>
      </c>
      <c r="R168" s="126">
        <f t="shared" si="38"/>
        <v>0</v>
      </c>
      <c r="V168" s="97"/>
    </row>
    <row r="169" spans="1:22" s="8" customFormat="1" ht="16.5" customHeight="1">
      <c r="A169" s="10">
        <v>4</v>
      </c>
      <c r="B169" s="112" t="s">
        <v>506</v>
      </c>
      <c r="C169" s="362" t="s">
        <v>507</v>
      </c>
      <c r="D169" s="298">
        <v>1</v>
      </c>
      <c r="E169" s="206">
        <v>16.1</v>
      </c>
      <c r="F169" s="126">
        <f t="shared" si="30"/>
        <v>16.1</v>
      </c>
      <c r="G169" s="299">
        <v>47.75</v>
      </c>
      <c r="H169" s="126">
        <f t="shared" si="31"/>
        <v>121.285</v>
      </c>
      <c r="I169" s="97">
        <f t="shared" si="32"/>
        <v>1952.6885000000002</v>
      </c>
      <c r="J169" s="300">
        <v>0</v>
      </c>
      <c r="K169" s="97">
        <f t="shared" si="33"/>
        <v>0</v>
      </c>
      <c r="L169" s="301">
        <f t="shared" si="39"/>
        <v>47.75</v>
      </c>
      <c r="M169" s="126">
        <f t="shared" si="34"/>
        <v>121.285</v>
      </c>
      <c r="N169" s="97">
        <f t="shared" si="35"/>
        <v>0</v>
      </c>
      <c r="O169" s="302">
        <v>1.15</v>
      </c>
      <c r="P169" s="126">
        <f t="shared" si="36"/>
        <v>2.921</v>
      </c>
      <c r="Q169" s="97">
        <f t="shared" si="37"/>
        <v>47.0281</v>
      </c>
      <c r="R169" s="126">
        <f t="shared" si="38"/>
        <v>0</v>
      </c>
      <c r="V169" s="97"/>
    </row>
    <row r="170" spans="1:22" s="8" customFormat="1" ht="16.5" customHeight="1">
      <c r="A170" s="10">
        <v>4</v>
      </c>
      <c r="B170" s="112" t="s">
        <v>508</v>
      </c>
      <c r="C170" s="362" t="s">
        <v>509</v>
      </c>
      <c r="D170" s="298">
        <v>1</v>
      </c>
      <c r="E170" s="206">
        <v>1</v>
      </c>
      <c r="F170" s="126">
        <f t="shared" si="30"/>
        <v>1</v>
      </c>
      <c r="G170" s="299">
        <v>45.17</v>
      </c>
      <c r="H170" s="126">
        <f t="shared" si="31"/>
        <v>114.7318</v>
      </c>
      <c r="I170" s="97">
        <f t="shared" si="32"/>
        <v>114.7318</v>
      </c>
      <c r="J170" s="300">
        <v>0</v>
      </c>
      <c r="K170" s="97">
        <f t="shared" si="33"/>
        <v>0</v>
      </c>
      <c r="L170" s="301">
        <f t="shared" si="39"/>
        <v>45.17</v>
      </c>
      <c r="M170" s="126">
        <f t="shared" si="34"/>
        <v>114.7318</v>
      </c>
      <c r="N170" s="97">
        <f t="shared" si="35"/>
        <v>0</v>
      </c>
      <c r="O170" s="302">
        <v>0</v>
      </c>
      <c r="P170" s="126">
        <f t="shared" si="36"/>
        <v>0</v>
      </c>
      <c r="Q170" s="97">
        <f t="shared" si="37"/>
        <v>0</v>
      </c>
      <c r="R170" s="126">
        <f t="shared" si="38"/>
        <v>0</v>
      </c>
      <c r="V170" s="97"/>
    </row>
    <row r="171" spans="1:22" s="8" customFormat="1" ht="16.5" customHeight="1">
      <c r="A171" s="10">
        <v>4</v>
      </c>
      <c r="B171" s="112" t="s">
        <v>510</v>
      </c>
      <c r="C171" s="362" t="s">
        <v>511</v>
      </c>
      <c r="D171" s="298">
        <v>1</v>
      </c>
      <c r="E171" s="206">
        <v>13.9</v>
      </c>
      <c r="F171" s="126">
        <f t="shared" si="30"/>
        <v>13.9</v>
      </c>
      <c r="G171" s="299">
        <v>47.69</v>
      </c>
      <c r="H171" s="126">
        <f t="shared" si="31"/>
        <v>121.1326</v>
      </c>
      <c r="I171" s="97">
        <f t="shared" si="32"/>
        <v>1683.74314</v>
      </c>
      <c r="J171" s="300">
        <v>0</v>
      </c>
      <c r="K171" s="97">
        <f t="shared" si="33"/>
        <v>0</v>
      </c>
      <c r="L171" s="301">
        <f t="shared" si="39"/>
        <v>47.69</v>
      </c>
      <c r="M171" s="126">
        <f t="shared" si="34"/>
        <v>121.1326</v>
      </c>
      <c r="N171" s="97">
        <f t="shared" si="35"/>
        <v>0</v>
      </c>
      <c r="O171" s="302">
        <v>0</v>
      </c>
      <c r="P171" s="126">
        <f t="shared" si="36"/>
        <v>0</v>
      </c>
      <c r="Q171" s="97">
        <f t="shared" si="37"/>
        <v>0</v>
      </c>
      <c r="R171" s="126">
        <f t="shared" si="38"/>
        <v>0</v>
      </c>
      <c r="V171" s="97"/>
    </row>
    <row r="172" spans="1:22" s="8" customFormat="1" ht="16.5" customHeight="1">
      <c r="A172" s="10">
        <v>4</v>
      </c>
      <c r="B172" s="112" t="s">
        <v>512</v>
      </c>
      <c r="C172" s="362" t="s">
        <v>351</v>
      </c>
      <c r="D172" s="298">
        <v>1</v>
      </c>
      <c r="E172" s="206">
        <v>7.9</v>
      </c>
      <c r="F172" s="126">
        <f t="shared" si="30"/>
        <v>7.9</v>
      </c>
      <c r="G172" s="299">
        <v>48.12</v>
      </c>
      <c r="H172" s="126">
        <f t="shared" si="31"/>
        <v>122.2248</v>
      </c>
      <c r="I172" s="97">
        <f t="shared" si="32"/>
        <v>965.5759200000001</v>
      </c>
      <c r="J172" s="300">
        <v>0</v>
      </c>
      <c r="K172" s="97">
        <f t="shared" si="33"/>
        <v>0</v>
      </c>
      <c r="L172" s="301">
        <f t="shared" si="39"/>
        <v>48.12</v>
      </c>
      <c r="M172" s="126">
        <f t="shared" si="34"/>
        <v>122.2248</v>
      </c>
      <c r="N172" s="97">
        <f t="shared" si="35"/>
        <v>0</v>
      </c>
      <c r="O172" s="302">
        <v>0</v>
      </c>
      <c r="P172" s="126">
        <f t="shared" si="36"/>
        <v>0</v>
      </c>
      <c r="Q172" s="97">
        <f t="shared" si="37"/>
        <v>0</v>
      </c>
      <c r="R172" s="126">
        <f t="shared" si="38"/>
        <v>0</v>
      </c>
      <c r="V172" s="97"/>
    </row>
    <row r="173" spans="1:22" s="8" customFormat="1" ht="16.5" customHeight="1">
      <c r="A173" s="10">
        <v>4</v>
      </c>
      <c r="B173" s="112" t="s">
        <v>513</v>
      </c>
      <c r="C173" s="362" t="s">
        <v>514</v>
      </c>
      <c r="D173" s="298">
        <v>1</v>
      </c>
      <c r="E173" s="206">
        <v>0.4</v>
      </c>
      <c r="F173" s="126">
        <f t="shared" si="30"/>
        <v>0.4</v>
      </c>
      <c r="G173" s="299">
        <v>51.512</v>
      </c>
      <c r="H173" s="126">
        <f t="shared" si="31"/>
        <v>130.84048</v>
      </c>
      <c r="I173" s="97">
        <f t="shared" si="32"/>
        <v>52.33619200000001</v>
      </c>
      <c r="J173" s="229">
        <v>0</v>
      </c>
      <c r="K173" s="97">
        <f t="shared" si="33"/>
        <v>0</v>
      </c>
      <c r="L173" s="301">
        <f t="shared" si="39"/>
        <v>51.512</v>
      </c>
      <c r="M173" s="126">
        <f t="shared" si="34"/>
        <v>130.84048</v>
      </c>
      <c r="N173" s="97">
        <f t="shared" si="35"/>
        <v>0</v>
      </c>
      <c r="O173" s="302">
        <v>-0.5</v>
      </c>
      <c r="P173" s="126">
        <f t="shared" si="36"/>
        <v>-1.27</v>
      </c>
      <c r="Q173" s="97">
        <f t="shared" si="37"/>
        <v>-0.508</v>
      </c>
      <c r="R173" s="126">
        <f t="shared" si="38"/>
        <v>0</v>
      </c>
      <c r="V173" s="97"/>
    </row>
    <row r="174" spans="1:22" s="8" customFormat="1" ht="16.5" customHeight="1">
      <c r="A174" s="10">
        <v>4</v>
      </c>
      <c r="B174" s="364" t="s">
        <v>515</v>
      </c>
      <c r="C174" s="365" t="s">
        <v>516</v>
      </c>
      <c r="D174" s="113">
        <v>1</v>
      </c>
      <c r="E174" s="206">
        <v>47.7</v>
      </c>
      <c r="F174" s="126">
        <f t="shared" si="30"/>
        <v>47.7</v>
      </c>
      <c r="G174" s="299">
        <v>52.47</v>
      </c>
      <c r="H174" s="126">
        <f t="shared" si="31"/>
        <v>133.2738</v>
      </c>
      <c r="I174" s="366">
        <f t="shared" si="32"/>
        <v>6357.16026</v>
      </c>
      <c r="J174" s="230">
        <v>0</v>
      </c>
      <c r="K174" s="126">
        <f t="shared" si="33"/>
        <v>0</v>
      </c>
      <c r="L174" s="301">
        <f t="shared" si="39"/>
        <v>52.47</v>
      </c>
      <c r="M174" s="126">
        <f t="shared" si="34"/>
        <v>133.2738</v>
      </c>
      <c r="N174" s="97"/>
      <c r="O174" s="302">
        <v>0</v>
      </c>
      <c r="P174" s="126">
        <f t="shared" si="36"/>
        <v>0</v>
      </c>
      <c r="Q174" s="97">
        <f t="shared" si="37"/>
        <v>0</v>
      </c>
      <c r="R174" s="126">
        <f t="shared" si="38"/>
        <v>0</v>
      </c>
      <c r="V174" s="97"/>
    </row>
    <row r="175" spans="1:22" s="8" customFormat="1" ht="16.5" customHeight="1">
      <c r="A175" s="10">
        <v>4</v>
      </c>
      <c r="B175" s="112" t="s">
        <v>517</v>
      </c>
      <c r="C175" s="362" t="s">
        <v>518</v>
      </c>
      <c r="D175" s="298">
        <v>1</v>
      </c>
      <c r="E175" s="206">
        <v>112.7</v>
      </c>
      <c r="F175" s="126">
        <f>E175*D175+(Oil_wt_2-(C20*Cal!D43*Oil_density))</f>
        <v>817.3704827421836</v>
      </c>
      <c r="G175" s="299">
        <v>54.613</v>
      </c>
      <c r="H175" s="126">
        <f t="shared" si="31"/>
        <v>138.71702</v>
      </c>
      <c r="I175" s="97">
        <f t="shared" si="32"/>
        <v>113383.19760195713</v>
      </c>
      <c r="J175" s="229">
        <f>Total_Oil_Vol-C20*Cal!D43+E175*1</f>
        <v>924.2518631143427</v>
      </c>
      <c r="K175" s="97">
        <f t="shared" si="33"/>
        <v>924.2518631143427</v>
      </c>
      <c r="L175" s="367">
        <v>54.613</v>
      </c>
      <c r="M175" s="126">
        <f t="shared" si="34"/>
        <v>138.71702</v>
      </c>
      <c r="N175" s="97">
        <f aca="true" t="shared" si="40" ref="N175:N194">K175*M175</f>
        <v>128209.46418066953</v>
      </c>
      <c r="O175" s="302">
        <v>0</v>
      </c>
      <c r="P175" s="126">
        <f t="shared" si="36"/>
        <v>0</v>
      </c>
      <c r="Q175" s="97">
        <f t="shared" si="37"/>
        <v>0</v>
      </c>
      <c r="R175" s="126">
        <f t="shared" si="38"/>
        <v>0</v>
      </c>
      <c r="S175" s="368"/>
      <c r="V175" s="97"/>
    </row>
    <row r="176" spans="1:22" s="8" customFormat="1" ht="16.5" customHeight="1">
      <c r="A176" s="10">
        <v>4</v>
      </c>
      <c r="B176" s="112" t="s">
        <v>519</v>
      </c>
      <c r="C176" s="362" t="s">
        <v>520</v>
      </c>
      <c r="D176" s="298">
        <v>1</v>
      </c>
      <c r="E176" s="206">
        <v>108.1</v>
      </c>
      <c r="F176" s="126">
        <f aca="true" t="shared" si="41" ref="F176:F194">E176*D176</f>
        <v>108.1</v>
      </c>
      <c r="G176" s="299">
        <v>51.6</v>
      </c>
      <c r="H176" s="126">
        <f t="shared" si="31"/>
        <v>131.064</v>
      </c>
      <c r="I176" s="97">
        <f t="shared" si="32"/>
        <v>14168.018399999999</v>
      </c>
      <c r="J176" s="229">
        <f>E176/Alum_density</f>
        <v>39.84518982676004</v>
      </c>
      <c r="K176" s="97">
        <f t="shared" si="33"/>
        <v>39.84518982676004</v>
      </c>
      <c r="L176" s="301">
        <f aca="true" t="shared" si="42" ref="L176:L194">G176</f>
        <v>51.6</v>
      </c>
      <c r="M176" s="126">
        <f t="shared" si="34"/>
        <v>131.064</v>
      </c>
      <c r="N176" s="97">
        <f t="shared" si="40"/>
        <v>5222.269959454477</v>
      </c>
      <c r="O176" s="302">
        <v>0</v>
      </c>
      <c r="P176" s="126">
        <f t="shared" si="36"/>
        <v>0</v>
      </c>
      <c r="Q176" s="97">
        <f t="shared" si="37"/>
        <v>0</v>
      </c>
      <c r="R176" s="126">
        <f t="shared" si="38"/>
        <v>0</v>
      </c>
      <c r="V176" s="97"/>
    </row>
    <row r="177" spans="1:22" s="8" customFormat="1" ht="16.5" customHeight="1">
      <c r="A177" s="10">
        <v>4</v>
      </c>
      <c r="B177" s="112" t="s">
        <v>521</v>
      </c>
      <c r="C177" s="10">
        <v>52252</v>
      </c>
      <c r="D177" s="298">
        <v>1</v>
      </c>
      <c r="E177" s="206">
        <v>12</v>
      </c>
      <c r="F177" s="126">
        <f t="shared" si="41"/>
        <v>12</v>
      </c>
      <c r="G177" s="299">
        <v>51.512</v>
      </c>
      <c r="H177" s="126">
        <f t="shared" si="31"/>
        <v>130.84048</v>
      </c>
      <c r="I177" s="97">
        <f t="shared" si="32"/>
        <v>1570.0857600000002</v>
      </c>
      <c r="J177" s="229">
        <v>0.793</v>
      </c>
      <c r="K177" s="126">
        <f t="shared" si="33"/>
        <v>0.793</v>
      </c>
      <c r="L177" s="126">
        <f t="shared" si="42"/>
        <v>51.512</v>
      </c>
      <c r="M177" s="126">
        <f t="shared" si="34"/>
        <v>130.84048</v>
      </c>
      <c r="N177" s="97">
        <f t="shared" si="40"/>
        <v>103.75650064000001</v>
      </c>
      <c r="O177" s="302">
        <v>1.7</v>
      </c>
      <c r="P177" s="126">
        <f t="shared" si="36"/>
        <v>4.318</v>
      </c>
      <c r="Q177" s="97">
        <f t="shared" si="37"/>
        <v>51.815999999999995</v>
      </c>
      <c r="R177" s="126">
        <f t="shared" si="38"/>
        <v>3.424174</v>
      </c>
      <c r="V177" s="97"/>
    </row>
    <row r="178" spans="1:22" s="8" customFormat="1" ht="16.5" customHeight="1">
      <c r="A178" s="10">
        <v>4</v>
      </c>
      <c r="B178" s="112" t="s">
        <v>522</v>
      </c>
      <c r="C178" s="10">
        <v>52160</v>
      </c>
      <c r="D178" s="298">
        <v>1</v>
      </c>
      <c r="E178" s="206">
        <v>12</v>
      </c>
      <c r="F178" s="126">
        <f t="shared" si="41"/>
        <v>12</v>
      </c>
      <c r="G178" s="299">
        <v>51.512</v>
      </c>
      <c r="H178" s="126">
        <f t="shared" si="31"/>
        <v>130.84048</v>
      </c>
      <c r="I178" s="97">
        <f t="shared" si="32"/>
        <v>1570.0857600000002</v>
      </c>
      <c r="J178" s="229">
        <v>0.793</v>
      </c>
      <c r="K178" s="126">
        <f t="shared" si="33"/>
        <v>0.793</v>
      </c>
      <c r="L178" s="126">
        <f t="shared" si="42"/>
        <v>51.512</v>
      </c>
      <c r="M178" s="126">
        <f t="shared" si="34"/>
        <v>130.84048</v>
      </c>
      <c r="N178" s="97">
        <f t="shared" si="40"/>
        <v>103.75650064000001</v>
      </c>
      <c r="O178" s="302">
        <v>0</v>
      </c>
      <c r="P178" s="126">
        <f t="shared" si="36"/>
        <v>0</v>
      </c>
      <c r="Q178" s="97">
        <f t="shared" si="37"/>
        <v>0</v>
      </c>
      <c r="R178" s="126">
        <f t="shared" si="38"/>
        <v>0</v>
      </c>
      <c r="V178" s="97"/>
    </row>
    <row r="179" spans="1:22" s="8" customFormat="1" ht="16.5" customHeight="1">
      <c r="A179" s="10">
        <v>4</v>
      </c>
      <c r="B179" s="112" t="s">
        <v>523</v>
      </c>
      <c r="C179" s="10">
        <v>52160</v>
      </c>
      <c r="D179" s="298">
        <v>1</v>
      </c>
      <c r="E179" s="206">
        <v>12</v>
      </c>
      <c r="F179" s="126">
        <f t="shared" si="41"/>
        <v>12</v>
      </c>
      <c r="G179" s="299">
        <v>51.512</v>
      </c>
      <c r="H179" s="126">
        <f t="shared" si="31"/>
        <v>130.84048</v>
      </c>
      <c r="I179" s="97">
        <f t="shared" si="32"/>
        <v>1570.0857600000002</v>
      </c>
      <c r="J179" s="229">
        <v>0.793</v>
      </c>
      <c r="K179" s="126">
        <f t="shared" si="33"/>
        <v>0.793</v>
      </c>
      <c r="L179" s="126">
        <f t="shared" si="42"/>
        <v>51.512</v>
      </c>
      <c r="M179" s="126">
        <f t="shared" si="34"/>
        <v>130.84048</v>
      </c>
      <c r="N179" s="97">
        <f t="shared" si="40"/>
        <v>103.75650064000001</v>
      </c>
      <c r="O179" s="302">
        <v>-1.7</v>
      </c>
      <c r="P179" s="126">
        <f t="shared" si="36"/>
        <v>-4.318</v>
      </c>
      <c r="Q179" s="97">
        <f t="shared" si="37"/>
        <v>-51.815999999999995</v>
      </c>
      <c r="R179" s="126">
        <f t="shared" si="38"/>
        <v>-3.424174</v>
      </c>
      <c r="V179" s="97"/>
    </row>
    <row r="180" spans="1:22" s="8" customFormat="1" ht="16.5" customHeight="1">
      <c r="A180" s="10">
        <v>4</v>
      </c>
      <c r="B180" s="112" t="s">
        <v>524</v>
      </c>
      <c r="C180" s="10">
        <v>52160</v>
      </c>
      <c r="D180" s="298">
        <v>1</v>
      </c>
      <c r="E180" s="206">
        <v>12</v>
      </c>
      <c r="F180" s="126">
        <f t="shared" si="41"/>
        <v>12</v>
      </c>
      <c r="G180" s="299">
        <v>51.512</v>
      </c>
      <c r="H180" s="126">
        <f t="shared" si="31"/>
        <v>130.84048</v>
      </c>
      <c r="I180" s="97">
        <f t="shared" si="32"/>
        <v>1570.0857600000002</v>
      </c>
      <c r="J180" s="229">
        <v>0.793</v>
      </c>
      <c r="K180" s="126">
        <f t="shared" si="33"/>
        <v>0.793</v>
      </c>
      <c r="L180" s="126">
        <f t="shared" si="42"/>
        <v>51.512</v>
      </c>
      <c r="M180" s="126">
        <f t="shared" si="34"/>
        <v>130.84048</v>
      </c>
      <c r="N180" s="97">
        <f t="shared" si="40"/>
        <v>103.75650064000001</v>
      </c>
      <c r="O180" s="302">
        <v>-2.3</v>
      </c>
      <c r="P180" s="126">
        <f t="shared" si="36"/>
        <v>-5.842</v>
      </c>
      <c r="Q180" s="97">
        <f t="shared" si="37"/>
        <v>-70.104</v>
      </c>
      <c r="R180" s="126">
        <f t="shared" si="38"/>
        <v>-4.632706</v>
      </c>
      <c r="V180" s="97"/>
    </row>
    <row r="181" spans="1:22" s="8" customFormat="1" ht="16.5" customHeight="1">
      <c r="A181" s="10">
        <v>4</v>
      </c>
      <c r="B181" s="112" t="s">
        <v>525</v>
      </c>
      <c r="C181" s="10">
        <v>52160</v>
      </c>
      <c r="D181" s="298">
        <v>1</v>
      </c>
      <c r="E181" s="206">
        <v>12</v>
      </c>
      <c r="F181" s="126">
        <f t="shared" si="41"/>
        <v>12</v>
      </c>
      <c r="G181" s="299">
        <v>51.512</v>
      </c>
      <c r="H181" s="126">
        <f t="shared" si="31"/>
        <v>130.84048</v>
      </c>
      <c r="I181" s="97">
        <f t="shared" si="32"/>
        <v>1570.0857600000002</v>
      </c>
      <c r="J181" s="229">
        <v>0.793</v>
      </c>
      <c r="K181" s="126">
        <f t="shared" si="33"/>
        <v>0.793</v>
      </c>
      <c r="L181" s="126">
        <f t="shared" si="42"/>
        <v>51.512</v>
      </c>
      <c r="M181" s="126">
        <f t="shared" si="34"/>
        <v>130.84048</v>
      </c>
      <c r="N181" s="97">
        <f t="shared" si="40"/>
        <v>103.75650064000001</v>
      </c>
      <c r="O181" s="302">
        <v>-1.7</v>
      </c>
      <c r="P181" s="126">
        <f t="shared" si="36"/>
        <v>-4.318</v>
      </c>
      <c r="Q181" s="97">
        <f t="shared" si="37"/>
        <v>-51.815999999999995</v>
      </c>
      <c r="R181" s="126">
        <f t="shared" si="38"/>
        <v>-3.424174</v>
      </c>
      <c r="V181" s="97"/>
    </row>
    <row r="182" spans="1:22" s="8" customFormat="1" ht="16.5" customHeight="1">
      <c r="A182" s="10">
        <v>4</v>
      </c>
      <c r="B182" s="112" t="s">
        <v>408</v>
      </c>
      <c r="C182" s="10">
        <v>52160</v>
      </c>
      <c r="D182" s="298">
        <v>1</v>
      </c>
      <c r="E182" s="206">
        <v>12</v>
      </c>
      <c r="F182" s="126">
        <f t="shared" si="41"/>
        <v>12</v>
      </c>
      <c r="G182" s="299">
        <v>51.512</v>
      </c>
      <c r="H182" s="126">
        <f t="shared" si="31"/>
        <v>130.84048</v>
      </c>
      <c r="I182" s="97">
        <f t="shared" si="32"/>
        <v>1570.0857600000002</v>
      </c>
      <c r="J182" s="229">
        <v>0.793</v>
      </c>
      <c r="K182" s="126">
        <f t="shared" si="33"/>
        <v>0.793</v>
      </c>
      <c r="L182" s="126">
        <f t="shared" si="42"/>
        <v>51.512</v>
      </c>
      <c r="M182" s="126">
        <f t="shared" si="34"/>
        <v>130.84048</v>
      </c>
      <c r="N182" s="97">
        <f t="shared" si="40"/>
        <v>103.75650064000001</v>
      </c>
      <c r="O182" s="302">
        <v>1.7</v>
      </c>
      <c r="P182" s="126">
        <f t="shared" si="36"/>
        <v>4.318</v>
      </c>
      <c r="Q182" s="97">
        <f t="shared" si="37"/>
        <v>51.815999999999995</v>
      </c>
      <c r="R182" s="126">
        <f t="shared" si="38"/>
        <v>3.424174</v>
      </c>
      <c r="V182" s="97"/>
    </row>
    <row r="183" spans="1:22" s="8" customFormat="1" ht="16.5" customHeight="1">
      <c r="A183" s="10">
        <v>4</v>
      </c>
      <c r="B183" s="112" t="s">
        <v>409</v>
      </c>
      <c r="C183" s="362" t="s">
        <v>410</v>
      </c>
      <c r="D183" s="298">
        <v>1</v>
      </c>
      <c r="E183" s="206">
        <v>50.1</v>
      </c>
      <c r="F183" s="126">
        <f t="shared" si="41"/>
        <v>50.1</v>
      </c>
      <c r="G183" s="299">
        <v>51.512</v>
      </c>
      <c r="H183" s="126">
        <f t="shared" si="31"/>
        <v>130.84048</v>
      </c>
      <c r="I183" s="97">
        <f t="shared" si="32"/>
        <v>6555.108048000001</v>
      </c>
      <c r="J183" s="229">
        <v>6.8</v>
      </c>
      <c r="K183" s="126">
        <f t="shared" si="33"/>
        <v>6.8</v>
      </c>
      <c r="L183" s="126">
        <f t="shared" si="42"/>
        <v>51.512</v>
      </c>
      <c r="M183" s="126">
        <f t="shared" si="34"/>
        <v>130.84048</v>
      </c>
      <c r="N183" s="97">
        <f t="shared" si="40"/>
        <v>889.715264</v>
      </c>
      <c r="O183" s="302">
        <v>0</v>
      </c>
      <c r="P183" s="126">
        <f t="shared" si="36"/>
        <v>0</v>
      </c>
      <c r="Q183" s="97">
        <f t="shared" si="37"/>
        <v>0</v>
      </c>
      <c r="R183" s="126">
        <f t="shared" si="38"/>
        <v>0</v>
      </c>
      <c r="V183" s="97"/>
    </row>
    <row r="184" spans="1:22" s="8" customFormat="1" ht="16.5" customHeight="1">
      <c r="A184" s="10">
        <v>4</v>
      </c>
      <c r="B184" s="112" t="s">
        <v>411</v>
      </c>
      <c r="C184" s="362" t="s">
        <v>412</v>
      </c>
      <c r="D184" s="298">
        <v>1</v>
      </c>
      <c r="E184" s="206">
        <v>11.6</v>
      </c>
      <c r="F184" s="126">
        <f t="shared" si="41"/>
        <v>11.6</v>
      </c>
      <c r="G184" s="299">
        <v>51.512</v>
      </c>
      <c r="H184" s="126">
        <f t="shared" si="31"/>
        <v>130.84048</v>
      </c>
      <c r="I184" s="97">
        <f t="shared" si="32"/>
        <v>1517.7495680000002</v>
      </c>
      <c r="J184" s="229">
        <v>2.7</v>
      </c>
      <c r="K184" s="126">
        <f t="shared" si="33"/>
        <v>2.7</v>
      </c>
      <c r="L184" s="301">
        <f t="shared" si="42"/>
        <v>51.512</v>
      </c>
      <c r="M184" s="126">
        <f t="shared" si="34"/>
        <v>130.84048</v>
      </c>
      <c r="N184" s="97">
        <f t="shared" si="40"/>
        <v>353.26929600000005</v>
      </c>
      <c r="O184" s="302">
        <v>2.3</v>
      </c>
      <c r="P184" s="126">
        <f t="shared" si="36"/>
        <v>5.842</v>
      </c>
      <c r="Q184" s="97">
        <f t="shared" si="37"/>
        <v>67.76719999999999</v>
      </c>
      <c r="R184" s="126">
        <f t="shared" si="38"/>
        <v>15.7734</v>
      </c>
      <c r="V184" s="97"/>
    </row>
    <row r="185" spans="1:22" s="8" customFormat="1" ht="16.5" customHeight="1">
      <c r="A185" s="10">
        <v>4</v>
      </c>
      <c r="B185" s="112" t="s">
        <v>413</v>
      </c>
      <c r="C185" s="10">
        <v>49804</v>
      </c>
      <c r="D185" s="298">
        <v>1</v>
      </c>
      <c r="E185" s="206">
        <v>40.3</v>
      </c>
      <c r="F185" s="126">
        <f t="shared" si="41"/>
        <v>40.3</v>
      </c>
      <c r="G185" s="299">
        <v>47.3</v>
      </c>
      <c r="H185" s="126">
        <f t="shared" si="31"/>
        <v>120.142</v>
      </c>
      <c r="I185" s="97">
        <f t="shared" si="32"/>
        <v>4841.722599999999</v>
      </c>
      <c r="J185" s="300">
        <v>0</v>
      </c>
      <c r="K185" s="97">
        <f t="shared" si="33"/>
        <v>0</v>
      </c>
      <c r="L185" s="301">
        <f t="shared" si="42"/>
        <v>47.3</v>
      </c>
      <c r="M185" s="126">
        <f t="shared" si="34"/>
        <v>120.142</v>
      </c>
      <c r="N185" s="97">
        <f t="shared" si="40"/>
        <v>0</v>
      </c>
      <c r="O185" s="302">
        <v>0.75</v>
      </c>
      <c r="P185" s="126">
        <f t="shared" si="36"/>
        <v>1.905</v>
      </c>
      <c r="Q185" s="97">
        <f t="shared" si="37"/>
        <v>76.77149999999999</v>
      </c>
      <c r="R185" s="126">
        <f t="shared" si="38"/>
        <v>0</v>
      </c>
      <c r="V185" s="97"/>
    </row>
    <row r="186" spans="1:22" s="8" customFormat="1" ht="16.5" customHeight="1">
      <c r="A186" s="10">
        <v>4</v>
      </c>
      <c r="B186" s="112" t="s">
        <v>414</v>
      </c>
      <c r="C186" s="10">
        <v>52253</v>
      </c>
      <c r="D186" s="298">
        <v>1</v>
      </c>
      <c r="E186" s="206">
        <v>130.5</v>
      </c>
      <c r="F186" s="126">
        <f t="shared" si="41"/>
        <v>130.5</v>
      </c>
      <c r="G186" s="299">
        <v>48.5</v>
      </c>
      <c r="H186" s="126">
        <f t="shared" si="31"/>
        <v>123.19</v>
      </c>
      <c r="I186" s="97">
        <f t="shared" si="32"/>
        <v>16076.295</v>
      </c>
      <c r="J186" s="300">
        <v>0</v>
      </c>
      <c r="K186" s="97">
        <f t="shared" si="33"/>
        <v>0</v>
      </c>
      <c r="L186" s="301">
        <f t="shared" si="42"/>
        <v>48.5</v>
      </c>
      <c r="M186" s="126">
        <f t="shared" si="34"/>
        <v>123.19</v>
      </c>
      <c r="N186" s="97">
        <f t="shared" si="40"/>
        <v>0</v>
      </c>
      <c r="O186" s="302">
        <v>1.8</v>
      </c>
      <c r="P186" s="126">
        <f t="shared" si="36"/>
        <v>4.572</v>
      </c>
      <c r="Q186" s="97">
        <f t="shared" si="37"/>
        <v>596.646</v>
      </c>
      <c r="R186" s="126">
        <f t="shared" si="38"/>
        <v>0</v>
      </c>
      <c r="V186" s="97"/>
    </row>
    <row r="187" spans="1:22" s="8" customFormat="1" ht="16.5" customHeight="1">
      <c r="A187" s="10">
        <v>4</v>
      </c>
      <c r="B187" s="112" t="s">
        <v>415</v>
      </c>
      <c r="C187" s="10">
        <v>55203</v>
      </c>
      <c r="D187" s="298">
        <v>1</v>
      </c>
      <c r="E187" s="206">
        <v>0.4</v>
      </c>
      <c r="F187" s="126">
        <f t="shared" si="41"/>
        <v>0.4</v>
      </c>
      <c r="G187" s="299">
        <v>47.3</v>
      </c>
      <c r="H187" s="126">
        <f t="shared" si="31"/>
        <v>120.142</v>
      </c>
      <c r="I187" s="97">
        <f t="shared" si="32"/>
        <v>48.0568</v>
      </c>
      <c r="J187" s="300">
        <v>0</v>
      </c>
      <c r="K187" s="97">
        <f t="shared" si="33"/>
        <v>0</v>
      </c>
      <c r="L187" s="301">
        <f t="shared" si="42"/>
        <v>47.3</v>
      </c>
      <c r="M187" s="126">
        <f t="shared" si="34"/>
        <v>120.142</v>
      </c>
      <c r="N187" s="97">
        <f t="shared" si="40"/>
        <v>0</v>
      </c>
      <c r="O187" s="302">
        <v>1.8</v>
      </c>
      <c r="P187" s="126">
        <f t="shared" si="36"/>
        <v>4.572</v>
      </c>
      <c r="Q187" s="97">
        <f t="shared" si="37"/>
        <v>1.8288000000000002</v>
      </c>
      <c r="R187" s="126">
        <f t="shared" si="38"/>
        <v>0</v>
      </c>
      <c r="V187" s="97"/>
    </row>
    <row r="188" spans="1:22" s="8" customFormat="1" ht="16.5" customHeight="1">
      <c r="A188" s="10">
        <v>4</v>
      </c>
      <c r="B188" s="112" t="s">
        <v>416</v>
      </c>
      <c r="C188" s="362" t="s">
        <v>417</v>
      </c>
      <c r="D188" s="298">
        <v>1</v>
      </c>
      <c r="E188" s="206">
        <v>0.6</v>
      </c>
      <c r="F188" s="126">
        <f t="shared" si="41"/>
        <v>0.6</v>
      </c>
      <c r="G188" s="299">
        <v>46.77</v>
      </c>
      <c r="H188" s="126">
        <f t="shared" si="31"/>
        <v>118.79580000000001</v>
      </c>
      <c r="I188" s="97">
        <f t="shared" si="32"/>
        <v>71.27748000000001</v>
      </c>
      <c r="J188" s="300">
        <v>0</v>
      </c>
      <c r="K188" s="97">
        <f t="shared" si="33"/>
        <v>0</v>
      </c>
      <c r="L188" s="301">
        <f t="shared" si="42"/>
        <v>46.77</v>
      </c>
      <c r="M188" s="126">
        <f t="shared" si="34"/>
        <v>118.79580000000001</v>
      </c>
      <c r="N188" s="97">
        <f t="shared" si="40"/>
        <v>0</v>
      </c>
      <c r="O188" s="302">
        <v>0</v>
      </c>
      <c r="P188" s="126">
        <f t="shared" si="36"/>
        <v>0</v>
      </c>
      <c r="Q188" s="97">
        <f t="shared" si="37"/>
        <v>0</v>
      </c>
      <c r="R188" s="126">
        <f t="shared" si="38"/>
        <v>0</v>
      </c>
      <c r="V188" s="97"/>
    </row>
    <row r="189" spans="1:22" s="8" customFormat="1" ht="16.5" customHeight="1">
      <c r="A189" s="10">
        <v>4</v>
      </c>
      <c r="B189" s="112" t="s">
        <v>418</v>
      </c>
      <c r="C189" s="10">
        <v>52352</v>
      </c>
      <c r="D189" s="298">
        <v>1</v>
      </c>
      <c r="E189" s="206">
        <v>5.7</v>
      </c>
      <c r="F189" s="126">
        <f t="shared" si="41"/>
        <v>5.7</v>
      </c>
      <c r="G189" s="299">
        <v>46.77</v>
      </c>
      <c r="H189" s="126">
        <f t="shared" si="31"/>
        <v>118.79580000000001</v>
      </c>
      <c r="I189" s="97">
        <f t="shared" si="32"/>
        <v>677.1360600000002</v>
      </c>
      <c r="J189" s="300">
        <v>0</v>
      </c>
      <c r="K189" s="97">
        <f t="shared" si="33"/>
        <v>0</v>
      </c>
      <c r="L189" s="301">
        <f t="shared" si="42"/>
        <v>46.77</v>
      </c>
      <c r="M189" s="126">
        <f t="shared" si="34"/>
        <v>118.79580000000001</v>
      </c>
      <c r="N189" s="97">
        <f t="shared" si="40"/>
        <v>0</v>
      </c>
      <c r="O189" s="302">
        <v>1.85</v>
      </c>
      <c r="P189" s="126">
        <f t="shared" si="36"/>
        <v>4.699000000000001</v>
      </c>
      <c r="Q189" s="97">
        <f t="shared" si="37"/>
        <v>26.784300000000005</v>
      </c>
      <c r="R189" s="126">
        <f t="shared" si="38"/>
        <v>0</v>
      </c>
      <c r="V189" s="97"/>
    </row>
    <row r="190" spans="1:22" s="8" customFormat="1" ht="16.5" customHeight="1">
      <c r="A190" s="10">
        <v>4</v>
      </c>
      <c r="B190" s="112" t="s">
        <v>419</v>
      </c>
      <c r="C190" s="362" t="s">
        <v>420</v>
      </c>
      <c r="D190" s="298">
        <v>1</v>
      </c>
      <c r="E190" s="206">
        <v>2.9</v>
      </c>
      <c r="F190" s="126">
        <f t="shared" si="41"/>
        <v>2.9</v>
      </c>
      <c r="G190" s="299">
        <v>47.28</v>
      </c>
      <c r="H190" s="126">
        <f t="shared" si="31"/>
        <v>120.0912</v>
      </c>
      <c r="I190" s="97">
        <f t="shared" si="32"/>
        <v>348.26448</v>
      </c>
      <c r="J190" s="300">
        <v>0</v>
      </c>
      <c r="K190" s="97">
        <f t="shared" si="33"/>
        <v>0</v>
      </c>
      <c r="L190" s="301">
        <f t="shared" si="42"/>
        <v>47.28</v>
      </c>
      <c r="M190" s="126">
        <f t="shared" si="34"/>
        <v>120.0912</v>
      </c>
      <c r="N190" s="97">
        <f t="shared" si="40"/>
        <v>0</v>
      </c>
      <c r="O190" s="302">
        <v>0</v>
      </c>
      <c r="P190" s="126">
        <f t="shared" si="36"/>
        <v>0</v>
      </c>
      <c r="Q190" s="97">
        <f t="shared" si="37"/>
        <v>0</v>
      </c>
      <c r="R190" s="126">
        <f t="shared" si="38"/>
        <v>0</v>
      </c>
      <c r="V190" s="97"/>
    </row>
    <row r="191" spans="1:22" s="8" customFormat="1" ht="16.5" customHeight="1">
      <c r="A191" s="10">
        <v>4</v>
      </c>
      <c r="B191" s="112" t="s">
        <v>421</v>
      </c>
      <c r="C191" s="10">
        <v>49806</v>
      </c>
      <c r="D191" s="298">
        <v>1</v>
      </c>
      <c r="E191" s="206">
        <v>91.5</v>
      </c>
      <c r="F191" s="126">
        <f t="shared" si="41"/>
        <v>91.5</v>
      </c>
      <c r="G191" s="299">
        <v>46.77</v>
      </c>
      <c r="H191" s="126">
        <f t="shared" si="31"/>
        <v>118.79580000000001</v>
      </c>
      <c r="I191" s="97">
        <f t="shared" si="32"/>
        <v>10869.815700000001</v>
      </c>
      <c r="J191" s="300">
        <v>0</v>
      </c>
      <c r="K191" s="97">
        <f t="shared" si="33"/>
        <v>0</v>
      </c>
      <c r="L191" s="301">
        <f t="shared" si="42"/>
        <v>46.77</v>
      </c>
      <c r="M191" s="126">
        <f t="shared" si="34"/>
        <v>118.79580000000001</v>
      </c>
      <c r="N191" s="97">
        <f t="shared" si="40"/>
        <v>0</v>
      </c>
      <c r="O191" s="302">
        <v>0</v>
      </c>
      <c r="P191" s="126">
        <f t="shared" si="36"/>
        <v>0</v>
      </c>
      <c r="Q191" s="97">
        <f t="shared" si="37"/>
        <v>0</v>
      </c>
      <c r="R191" s="126">
        <f t="shared" si="38"/>
        <v>0</v>
      </c>
      <c r="V191" s="97"/>
    </row>
    <row r="192" spans="1:22" s="8" customFormat="1" ht="16.5" customHeight="1">
      <c r="A192" s="10">
        <v>4</v>
      </c>
      <c r="B192" s="112" t="s">
        <v>422</v>
      </c>
      <c r="C192" s="362" t="s">
        <v>423</v>
      </c>
      <c r="D192" s="298">
        <v>1</v>
      </c>
      <c r="E192" s="206">
        <v>3.5</v>
      </c>
      <c r="F192" s="126">
        <f t="shared" si="41"/>
        <v>3.5</v>
      </c>
      <c r="G192" s="299">
        <v>46.77</v>
      </c>
      <c r="H192" s="126">
        <f t="shared" si="31"/>
        <v>118.79580000000001</v>
      </c>
      <c r="I192" s="97">
        <f t="shared" si="32"/>
        <v>415.78530000000006</v>
      </c>
      <c r="J192" s="300">
        <v>0</v>
      </c>
      <c r="K192" s="97">
        <f t="shared" si="33"/>
        <v>0</v>
      </c>
      <c r="L192" s="301">
        <f t="shared" si="42"/>
        <v>46.77</v>
      </c>
      <c r="M192" s="126">
        <f t="shared" si="34"/>
        <v>118.79580000000001</v>
      </c>
      <c r="N192" s="97">
        <f t="shared" si="40"/>
        <v>0</v>
      </c>
      <c r="O192" s="302">
        <v>0.5</v>
      </c>
      <c r="P192" s="126">
        <f t="shared" si="36"/>
        <v>1.27</v>
      </c>
      <c r="Q192" s="97">
        <f t="shared" si="37"/>
        <v>4.445</v>
      </c>
      <c r="R192" s="126">
        <f t="shared" si="38"/>
        <v>0</v>
      </c>
      <c r="V192" s="97"/>
    </row>
    <row r="193" spans="1:22" s="8" customFormat="1" ht="16.5" customHeight="1">
      <c r="A193" s="10">
        <v>4</v>
      </c>
      <c r="B193" s="112" t="s">
        <v>424</v>
      </c>
      <c r="C193" s="10">
        <v>49805</v>
      </c>
      <c r="D193" s="298">
        <v>1</v>
      </c>
      <c r="E193" s="206">
        <v>18</v>
      </c>
      <c r="F193" s="126">
        <f t="shared" si="41"/>
        <v>18</v>
      </c>
      <c r="G193" s="299">
        <v>46.5</v>
      </c>
      <c r="H193" s="126">
        <f t="shared" si="31"/>
        <v>118.11</v>
      </c>
      <c r="I193" s="97">
        <f t="shared" si="32"/>
        <v>2125.98</v>
      </c>
      <c r="J193" s="300">
        <v>0</v>
      </c>
      <c r="K193" s="97">
        <f t="shared" si="33"/>
        <v>0</v>
      </c>
      <c r="L193" s="301">
        <f t="shared" si="42"/>
        <v>46.5</v>
      </c>
      <c r="M193" s="126">
        <f t="shared" si="34"/>
        <v>118.11</v>
      </c>
      <c r="N193" s="97">
        <f t="shared" si="40"/>
        <v>0</v>
      </c>
      <c r="O193" s="302">
        <v>0.75</v>
      </c>
      <c r="P193" s="126">
        <f t="shared" si="36"/>
        <v>1.905</v>
      </c>
      <c r="Q193" s="97">
        <f t="shared" si="37"/>
        <v>34.29</v>
      </c>
      <c r="R193" s="126">
        <f t="shared" si="38"/>
        <v>0</v>
      </c>
      <c r="V193" s="97"/>
    </row>
    <row r="194" spans="1:22" s="8" customFormat="1" ht="16.5" customHeight="1">
      <c r="A194" s="10">
        <v>4</v>
      </c>
      <c r="B194" s="112" t="s">
        <v>425</v>
      </c>
      <c r="C194" s="362" t="s">
        <v>426</v>
      </c>
      <c r="D194" s="298">
        <v>1</v>
      </c>
      <c r="E194" s="206">
        <v>2</v>
      </c>
      <c r="F194" s="126">
        <f t="shared" si="41"/>
        <v>2</v>
      </c>
      <c r="G194" s="299">
        <v>46.625</v>
      </c>
      <c r="H194" s="126">
        <f t="shared" si="31"/>
        <v>118.4275</v>
      </c>
      <c r="I194" s="97">
        <f t="shared" si="32"/>
        <v>236.855</v>
      </c>
      <c r="J194" s="300">
        <v>0</v>
      </c>
      <c r="K194" s="97">
        <f t="shared" si="33"/>
        <v>0</v>
      </c>
      <c r="L194" s="301">
        <f t="shared" si="42"/>
        <v>46.625</v>
      </c>
      <c r="M194" s="126">
        <f t="shared" si="34"/>
        <v>118.4275</v>
      </c>
      <c r="N194" s="97">
        <f t="shared" si="40"/>
        <v>0</v>
      </c>
      <c r="O194" s="302">
        <v>0</v>
      </c>
      <c r="P194" s="126">
        <f t="shared" si="36"/>
        <v>0</v>
      </c>
      <c r="Q194" s="97">
        <f t="shared" si="37"/>
        <v>0</v>
      </c>
      <c r="R194" s="126">
        <f t="shared" si="38"/>
        <v>0</v>
      </c>
      <c r="V194" s="97"/>
    </row>
    <row r="195" spans="1:22" s="8" customFormat="1" ht="16.5" customHeight="1">
      <c r="A195" s="10"/>
      <c r="B195" s="112"/>
      <c r="C195" s="10"/>
      <c r="D195" s="298"/>
      <c r="E195" s="206"/>
      <c r="F195" s="126"/>
      <c r="G195" s="299"/>
      <c r="H195" s="126"/>
      <c r="I195" s="97"/>
      <c r="J195" s="300"/>
      <c r="K195" s="97"/>
      <c r="L195" s="301"/>
      <c r="M195" s="126"/>
      <c r="N195" s="97"/>
      <c r="O195" s="302"/>
      <c r="P195" s="126"/>
      <c r="Q195" s="97"/>
      <c r="R195" s="126"/>
      <c r="V195" s="97"/>
    </row>
    <row r="196" spans="1:22" s="8" customFormat="1" ht="16.5" customHeight="1">
      <c r="A196" s="10">
        <v>3</v>
      </c>
      <c r="B196" s="361" t="s">
        <v>427</v>
      </c>
      <c r="C196" s="97">
        <v>52378</v>
      </c>
      <c r="D196" s="196"/>
      <c r="E196" s="206"/>
      <c r="F196" s="126"/>
      <c r="G196" s="299"/>
      <c r="H196" s="126"/>
      <c r="I196" s="97"/>
      <c r="J196" s="300"/>
      <c r="K196" s="97"/>
      <c r="L196" s="301"/>
      <c r="M196" s="126"/>
      <c r="N196" s="97"/>
      <c r="O196" s="302"/>
      <c r="P196" s="126"/>
      <c r="Q196" s="97"/>
      <c r="R196" s="126"/>
      <c r="V196" s="97"/>
    </row>
    <row r="197" spans="1:22" s="8" customFormat="1" ht="16.5" customHeight="1">
      <c r="A197" s="10"/>
      <c r="B197" s="6" t="s">
        <v>218</v>
      </c>
      <c r="C197" s="126">
        <f>SUM(F199:F208)</f>
        <v>382.6</v>
      </c>
      <c r="D197" s="196" t="s">
        <v>126</v>
      </c>
      <c r="E197" s="322" t="s">
        <v>312</v>
      </c>
      <c r="F197" s="126"/>
      <c r="G197" s="299"/>
      <c r="H197" s="126"/>
      <c r="I197" s="97"/>
      <c r="J197" s="300"/>
      <c r="K197" s="97"/>
      <c r="L197" s="301"/>
      <c r="M197" s="126"/>
      <c r="N197" s="97"/>
      <c r="O197" s="302"/>
      <c r="P197" s="126"/>
      <c r="Q197" s="97"/>
      <c r="R197" s="126"/>
      <c r="V197" s="97"/>
    </row>
    <row r="198" spans="1:22" s="8" customFormat="1" ht="15.75" customHeight="1">
      <c r="A198" s="10"/>
      <c r="B198" s="6" t="s">
        <v>207</v>
      </c>
      <c r="C198" s="206">
        <v>382.8</v>
      </c>
      <c r="D198" s="196" t="s">
        <v>126</v>
      </c>
      <c r="E198" s="333">
        <f>C198-C197</f>
        <v>0.19999999999998863</v>
      </c>
      <c r="F198" s="126"/>
      <c r="G198" s="299"/>
      <c r="H198" s="126"/>
      <c r="I198" s="97"/>
      <c r="J198" s="300"/>
      <c r="K198" s="97"/>
      <c r="L198" s="301"/>
      <c r="M198" s="126"/>
      <c r="N198" s="97"/>
      <c r="O198" s="302"/>
      <c r="P198" s="126"/>
      <c r="Q198" s="97"/>
      <c r="R198" s="126"/>
      <c r="V198" s="97"/>
    </row>
    <row r="199" spans="1:22" s="8" customFormat="1" ht="17.25" customHeight="1">
      <c r="A199" s="10">
        <v>4</v>
      </c>
      <c r="B199" s="112" t="s">
        <v>428</v>
      </c>
      <c r="C199" s="362">
        <v>49808</v>
      </c>
      <c r="D199" s="298">
        <v>1</v>
      </c>
      <c r="E199" s="206">
        <v>25.1</v>
      </c>
      <c r="F199" s="126">
        <f aca="true" t="shared" si="43" ref="F199:F208">E199*D199</f>
        <v>25.1</v>
      </c>
      <c r="G199" s="299">
        <v>48.91</v>
      </c>
      <c r="H199" s="126">
        <f aca="true" t="shared" si="44" ref="H199:H208">G199*2.54</f>
        <v>124.2314</v>
      </c>
      <c r="I199" s="97">
        <f aca="true" t="shared" si="45" ref="I199:I208">F199*H199</f>
        <v>3118.20814</v>
      </c>
      <c r="J199" s="300">
        <v>0</v>
      </c>
      <c r="K199" s="97">
        <f aca="true" t="shared" si="46" ref="K199:K208">J199*D199</f>
        <v>0</v>
      </c>
      <c r="L199" s="301">
        <f aca="true" t="shared" si="47" ref="L199:L208">G199</f>
        <v>48.91</v>
      </c>
      <c r="M199" s="126">
        <f aca="true" t="shared" si="48" ref="M199:M208">L199*2.54</f>
        <v>124.2314</v>
      </c>
      <c r="N199" s="97">
        <f aca="true" t="shared" si="49" ref="N199:N207">K199*M199</f>
        <v>0</v>
      </c>
      <c r="O199" s="302">
        <v>0</v>
      </c>
      <c r="P199" s="126">
        <f aca="true" t="shared" si="50" ref="P199:P208">O199*2.54</f>
        <v>0</v>
      </c>
      <c r="Q199" s="97">
        <f aca="true" t="shared" si="51" ref="Q199:Q208">F199*P199</f>
        <v>0</v>
      </c>
      <c r="R199" s="126">
        <f aca="true" t="shared" si="52" ref="R199:R208">K199*P199</f>
        <v>0</v>
      </c>
      <c r="V199" s="97"/>
    </row>
    <row r="200" spans="1:22" s="8" customFormat="1" ht="16.5" customHeight="1">
      <c r="A200" s="10">
        <v>4</v>
      </c>
      <c r="B200" s="112" t="s">
        <v>429</v>
      </c>
      <c r="C200" s="362" t="s">
        <v>430</v>
      </c>
      <c r="D200" s="298">
        <v>1</v>
      </c>
      <c r="E200" s="206">
        <v>60.3</v>
      </c>
      <c r="F200" s="126">
        <f t="shared" si="43"/>
        <v>60.3</v>
      </c>
      <c r="G200" s="299">
        <v>48.9</v>
      </c>
      <c r="H200" s="126">
        <f t="shared" si="44"/>
        <v>124.206</v>
      </c>
      <c r="I200" s="97">
        <f t="shared" si="45"/>
        <v>7489.6218</v>
      </c>
      <c r="J200" s="300">
        <v>0</v>
      </c>
      <c r="K200" s="97">
        <f t="shared" si="46"/>
        <v>0</v>
      </c>
      <c r="L200" s="301">
        <f t="shared" si="47"/>
        <v>48.9</v>
      </c>
      <c r="M200" s="126">
        <f t="shared" si="48"/>
        <v>124.206</v>
      </c>
      <c r="N200" s="97">
        <f t="shared" si="49"/>
        <v>0</v>
      </c>
      <c r="O200" s="302">
        <v>1</v>
      </c>
      <c r="P200" s="126">
        <f t="shared" si="50"/>
        <v>2.54</v>
      </c>
      <c r="Q200" s="97">
        <f t="shared" si="51"/>
        <v>153.162</v>
      </c>
      <c r="R200" s="126">
        <f t="shared" si="52"/>
        <v>0</v>
      </c>
      <c r="V200" s="97"/>
    </row>
    <row r="201" spans="1:22" s="8" customFormat="1" ht="16.5" customHeight="1">
      <c r="A201" s="10">
        <v>4</v>
      </c>
      <c r="B201" s="112" t="s">
        <v>431</v>
      </c>
      <c r="C201" s="362" t="s">
        <v>432</v>
      </c>
      <c r="D201" s="298">
        <v>1</v>
      </c>
      <c r="E201" s="206">
        <v>0.2</v>
      </c>
      <c r="F201" s="126">
        <f t="shared" si="43"/>
        <v>0.2</v>
      </c>
      <c r="G201" s="299">
        <v>48.9</v>
      </c>
      <c r="H201" s="126">
        <f t="shared" si="44"/>
        <v>124.206</v>
      </c>
      <c r="I201" s="97">
        <f t="shared" si="45"/>
        <v>24.8412</v>
      </c>
      <c r="J201" s="300">
        <v>0</v>
      </c>
      <c r="K201" s="97">
        <f t="shared" si="46"/>
        <v>0</v>
      </c>
      <c r="L201" s="301">
        <f t="shared" si="47"/>
        <v>48.9</v>
      </c>
      <c r="M201" s="126">
        <f t="shared" si="48"/>
        <v>124.206</v>
      </c>
      <c r="N201" s="97">
        <f t="shared" si="49"/>
        <v>0</v>
      </c>
      <c r="O201" s="302">
        <v>0</v>
      </c>
      <c r="P201" s="126">
        <f t="shared" si="50"/>
        <v>0</v>
      </c>
      <c r="Q201" s="97">
        <f t="shared" si="51"/>
        <v>0</v>
      </c>
      <c r="R201" s="126">
        <f t="shared" si="52"/>
        <v>0</v>
      </c>
      <c r="V201" s="97"/>
    </row>
    <row r="202" spans="1:22" s="8" customFormat="1" ht="16.5" customHeight="1">
      <c r="A202" s="10">
        <v>4</v>
      </c>
      <c r="B202" s="112" t="s">
        <v>433</v>
      </c>
      <c r="C202" s="362" t="s">
        <v>434</v>
      </c>
      <c r="D202" s="298">
        <v>1</v>
      </c>
      <c r="E202" s="206">
        <v>10.3</v>
      </c>
      <c r="F202" s="126">
        <f t="shared" si="43"/>
        <v>10.3</v>
      </c>
      <c r="G202" s="299">
        <v>48.9</v>
      </c>
      <c r="H202" s="126">
        <f t="shared" si="44"/>
        <v>124.206</v>
      </c>
      <c r="I202" s="97">
        <f t="shared" si="45"/>
        <v>1279.3218000000002</v>
      </c>
      <c r="J202" s="300">
        <v>0</v>
      </c>
      <c r="K202" s="97">
        <f t="shared" si="46"/>
        <v>0</v>
      </c>
      <c r="L202" s="301">
        <f t="shared" si="47"/>
        <v>48.9</v>
      </c>
      <c r="M202" s="126">
        <f t="shared" si="48"/>
        <v>124.206</v>
      </c>
      <c r="N202" s="97">
        <f t="shared" si="49"/>
        <v>0</v>
      </c>
      <c r="O202" s="302">
        <v>-0.4</v>
      </c>
      <c r="P202" s="126">
        <f t="shared" si="50"/>
        <v>-1.016</v>
      </c>
      <c r="Q202" s="97">
        <f t="shared" si="51"/>
        <v>-10.4648</v>
      </c>
      <c r="R202" s="126">
        <f t="shared" si="52"/>
        <v>0</v>
      </c>
      <c r="V202" s="97"/>
    </row>
    <row r="203" spans="1:22" s="8" customFormat="1" ht="16.5" customHeight="1">
      <c r="A203" s="10">
        <v>4</v>
      </c>
      <c r="B203" s="112" t="s">
        <v>435</v>
      </c>
      <c r="C203" s="362" t="s">
        <v>436</v>
      </c>
      <c r="D203" s="298">
        <v>1</v>
      </c>
      <c r="E203" s="206">
        <v>3</v>
      </c>
      <c r="F203" s="126">
        <f t="shared" si="43"/>
        <v>3</v>
      </c>
      <c r="G203" s="299">
        <v>48.9</v>
      </c>
      <c r="H203" s="126">
        <f t="shared" si="44"/>
        <v>124.206</v>
      </c>
      <c r="I203" s="97">
        <f t="shared" si="45"/>
        <v>372.618</v>
      </c>
      <c r="J203" s="300">
        <v>0</v>
      </c>
      <c r="K203" s="97">
        <f t="shared" si="46"/>
        <v>0</v>
      </c>
      <c r="L203" s="301">
        <f t="shared" si="47"/>
        <v>48.9</v>
      </c>
      <c r="M203" s="126">
        <f t="shared" si="48"/>
        <v>124.206</v>
      </c>
      <c r="N203" s="97">
        <f t="shared" si="49"/>
        <v>0</v>
      </c>
      <c r="O203" s="302">
        <v>0</v>
      </c>
      <c r="P203" s="126">
        <f t="shared" si="50"/>
        <v>0</v>
      </c>
      <c r="Q203" s="97">
        <f t="shared" si="51"/>
        <v>0</v>
      </c>
      <c r="R203" s="126">
        <f t="shared" si="52"/>
        <v>0</v>
      </c>
      <c r="V203" s="97"/>
    </row>
    <row r="204" spans="1:22" s="8" customFormat="1" ht="17.25" customHeight="1">
      <c r="A204" s="10">
        <v>4</v>
      </c>
      <c r="B204" s="112" t="s">
        <v>437</v>
      </c>
      <c r="C204" s="362" t="s">
        <v>438</v>
      </c>
      <c r="D204" s="298">
        <v>1</v>
      </c>
      <c r="E204" s="206">
        <v>17.8</v>
      </c>
      <c r="F204" s="126">
        <f t="shared" si="43"/>
        <v>17.8</v>
      </c>
      <c r="G204" s="299">
        <v>48.9</v>
      </c>
      <c r="H204" s="126">
        <f t="shared" si="44"/>
        <v>124.206</v>
      </c>
      <c r="I204" s="97">
        <f t="shared" si="45"/>
        <v>2210.8668000000002</v>
      </c>
      <c r="J204" s="300">
        <v>0</v>
      </c>
      <c r="K204" s="97">
        <f t="shared" si="46"/>
        <v>0</v>
      </c>
      <c r="L204" s="301">
        <f t="shared" si="47"/>
        <v>48.9</v>
      </c>
      <c r="M204" s="126">
        <f t="shared" si="48"/>
        <v>124.206</v>
      </c>
      <c r="N204" s="97">
        <f t="shared" si="49"/>
        <v>0</v>
      </c>
      <c r="O204" s="302">
        <v>-0.4</v>
      </c>
      <c r="P204" s="126">
        <f t="shared" si="50"/>
        <v>-1.016</v>
      </c>
      <c r="Q204" s="97">
        <f t="shared" si="51"/>
        <v>-18.0848</v>
      </c>
      <c r="R204" s="126">
        <f t="shared" si="52"/>
        <v>0</v>
      </c>
      <c r="V204" s="97"/>
    </row>
    <row r="205" spans="1:22" s="8" customFormat="1" ht="25.5" customHeight="1">
      <c r="A205" s="10">
        <v>4</v>
      </c>
      <c r="B205" s="112" t="s">
        <v>439</v>
      </c>
      <c r="C205" s="369" t="s">
        <v>440</v>
      </c>
      <c r="D205" s="298">
        <v>1</v>
      </c>
      <c r="E205" s="206">
        <v>224.5</v>
      </c>
      <c r="F205" s="126">
        <f t="shared" si="43"/>
        <v>224.5</v>
      </c>
      <c r="G205" s="299">
        <v>48.9</v>
      </c>
      <c r="H205" s="126">
        <f t="shared" si="44"/>
        <v>124.206</v>
      </c>
      <c r="I205" s="97">
        <f t="shared" si="45"/>
        <v>27884.247</v>
      </c>
      <c r="J205" s="300">
        <v>0</v>
      </c>
      <c r="K205" s="97">
        <f t="shared" si="46"/>
        <v>0</v>
      </c>
      <c r="L205" s="301">
        <f t="shared" si="47"/>
        <v>48.9</v>
      </c>
      <c r="M205" s="126">
        <f t="shared" si="48"/>
        <v>124.206</v>
      </c>
      <c r="N205" s="97">
        <f t="shared" si="49"/>
        <v>0</v>
      </c>
      <c r="O205" s="302">
        <v>-0.8</v>
      </c>
      <c r="P205" s="126">
        <f t="shared" si="50"/>
        <v>-2.032</v>
      </c>
      <c r="Q205" s="97">
        <f t="shared" si="51"/>
        <v>-456.184</v>
      </c>
      <c r="R205" s="126">
        <f t="shared" si="52"/>
        <v>0</v>
      </c>
      <c r="V205" s="97"/>
    </row>
    <row r="206" spans="1:22" s="8" customFormat="1" ht="16.5" customHeight="1">
      <c r="A206" s="10">
        <v>4</v>
      </c>
      <c r="B206" s="112" t="s">
        <v>441</v>
      </c>
      <c r="C206" s="362" t="s">
        <v>442</v>
      </c>
      <c r="D206" s="298">
        <v>1</v>
      </c>
      <c r="E206" s="206">
        <v>2</v>
      </c>
      <c r="F206" s="126">
        <f t="shared" si="43"/>
        <v>2</v>
      </c>
      <c r="G206" s="299">
        <v>48.9</v>
      </c>
      <c r="H206" s="126">
        <f t="shared" si="44"/>
        <v>124.206</v>
      </c>
      <c r="I206" s="97">
        <f t="shared" si="45"/>
        <v>248.412</v>
      </c>
      <c r="J206" s="300">
        <v>0</v>
      </c>
      <c r="K206" s="97">
        <f t="shared" si="46"/>
        <v>0</v>
      </c>
      <c r="L206" s="301">
        <f t="shared" si="47"/>
        <v>48.9</v>
      </c>
      <c r="M206" s="126">
        <f t="shared" si="48"/>
        <v>124.206</v>
      </c>
      <c r="N206" s="97">
        <f t="shared" si="49"/>
        <v>0</v>
      </c>
      <c r="O206" s="302">
        <v>-0.5</v>
      </c>
      <c r="P206" s="126">
        <f t="shared" si="50"/>
        <v>-1.27</v>
      </c>
      <c r="Q206" s="97">
        <f t="shared" si="51"/>
        <v>-2.54</v>
      </c>
      <c r="R206" s="126">
        <f t="shared" si="52"/>
        <v>0</v>
      </c>
      <c r="V206" s="97"/>
    </row>
    <row r="207" spans="1:22" s="8" customFormat="1" ht="16.5" customHeight="1">
      <c r="A207" s="10">
        <v>4</v>
      </c>
      <c r="B207" s="112" t="s">
        <v>443</v>
      </c>
      <c r="C207" s="362" t="s">
        <v>444</v>
      </c>
      <c r="D207" s="298">
        <v>1</v>
      </c>
      <c r="E207" s="206">
        <v>25.1</v>
      </c>
      <c r="F207" s="126">
        <f t="shared" si="43"/>
        <v>25.1</v>
      </c>
      <c r="G207" s="299">
        <v>48.9</v>
      </c>
      <c r="H207" s="126">
        <f t="shared" si="44"/>
        <v>124.206</v>
      </c>
      <c r="I207" s="97">
        <f t="shared" si="45"/>
        <v>3117.5706000000005</v>
      </c>
      <c r="J207" s="300">
        <v>0</v>
      </c>
      <c r="K207" s="97">
        <f t="shared" si="46"/>
        <v>0</v>
      </c>
      <c r="L207" s="301">
        <f t="shared" si="47"/>
        <v>48.9</v>
      </c>
      <c r="M207" s="126">
        <f t="shared" si="48"/>
        <v>124.206</v>
      </c>
      <c r="N207" s="97">
        <f t="shared" si="49"/>
        <v>0</v>
      </c>
      <c r="O207" s="302">
        <v>-0.9</v>
      </c>
      <c r="P207" s="126">
        <f t="shared" si="50"/>
        <v>-2.286</v>
      </c>
      <c r="Q207" s="97">
        <f t="shared" si="51"/>
        <v>-57.378600000000006</v>
      </c>
      <c r="R207" s="126">
        <f t="shared" si="52"/>
        <v>0</v>
      </c>
      <c r="V207" s="97"/>
    </row>
    <row r="208" spans="1:22" s="8" customFormat="1" ht="16.5" customHeight="1">
      <c r="A208" s="10">
        <v>4</v>
      </c>
      <c r="B208" s="112" t="s">
        <v>445</v>
      </c>
      <c r="C208" s="362" t="s">
        <v>446</v>
      </c>
      <c r="D208" s="298">
        <v>1</v>
      </c>
      <c r="E208" s="206">
        <v>14.3</v>
      </c>
      <c r="F208" s="126">
        <f t="shared" si="43"/>
        <v>14.3</v>
      </c>
      <c r="G208" s="299">
        <v>47</v>
      </c>
      <c r="H208" s="126">
        <f t="shared" si="44"/>
        <v>119.38</v>
      </c>
      <c r="I208" s="366">
        <f t="shared" si="45"/>
        <v>1707.134</v>
      </c>
      <c r="J208" s="264">
        <v>0</v>
      </c>
      <c r="K208" s="97">
        <f t="shared" si="46"/>
        <v>0</v>
      </c>
      <c r="L208" s="301">
        <f t="shared" si="47"/>
        <v>47</v>
      </c>
      <c r="M208" s="126">
        <f t="shared" si="48"/>
        <v>119.38</v>
      </c>
      <c r="N208" s="97"/>
      <c r="O208" s="302">
        <v>0</v>
      </c>
      <c r="P208" s="126">
        <f t="shared" si="50"/>
        <v>0</v>
      </c>
      <c r="Q208" s="97">
        <f t="shared" si="51"/>
        <v>0</v>
      </c>
      <c r="R208" s="126">
        <f t="shared" si="52"/>
        <v>0</v>
      </c>
      <c r="V208" s="97"/>
    </row>
    <row r="209" spans="1:22" s="8" customFormat="1" ht="16.5" customHeight="1">
      <c r="A209" s="10"/>
      <c r="B209" s="370"/>
      <c r="C209" s="10"/>
      <c r="D209" s="298"/>
      <c r="E209" s="206"/>
      <c r="F209" s="126"/>
      <c r="G209" s="299"/>
      <c r="H209" s="126"/>
      <c r="I209" s="97"/>
      <c r="J209" s="300"/>
      <c r="K209" s="97"/>
      <c r="L209" s="301"/>
      <c r="M209" s="126"/>
      <c r="N209" s="97"/>
      <c r="O209" s="302"/>
      <c r="P209" s="126"/>
      <c r="Q209" s="97"/>
      <c r="R209" s="126"/>
      <c r="V209" s="97"/>
    </row>
    <row r="210" spans="1:22" s="8" customFormat="1" ht="16.5" customHeight="1">
      <c r="A210" s="10">
        <v>3</v>
      </c>
      <c r="B210" s="361" t="s">
        <v>447</v>
      </c>
      <c r="C210" s="371">
        <v>52346</v>
      </c>
      <c r="D210" s="196"/>
      <c r="E210" s="206"/>
      <c r="F210" s="126"/>
      <c r="G210" s="299"/>
      <c r="H210" s="126"/>
      <c r="I210" s="97"/>
      <c r="J210" s="300"/>
      <c r="K210" s="97"/>
      <c r="L210" s="301"/>
      <c r="M210" s="126"/>
      <c r="N210" s="97"/>
      <c r="O210" s="302"/>
      <c r="P210" s="126"/>
      <c r="Q210" s="97"/>
      <c r="R210" s="126"/>
      <c r="V210" s="97"/>
    </row>
    <row r="211" spans="1:22" s="8" customFormat="1" ht="16.5" customHeight="1">
      <c r="A211" s="10"/>
      <c r="B211" s="6" t="s">
        <v>218</v>
      </c>
      <c r="C211" s="126">
        <f>(SUM(F214:F231))-F215+E215</f>
        <v>1158.4</v>
      </c>
      <c r="D211" s="196" t="s">
        <v>126</v>
      </c>
      <c r="E211" s="322" t="s">
        <v>312</v>
      </c>
      <c r="F211" s="126"/>
      <c r="G211" s="299"/>
      <c r="H211" s="126"/>
      <c r="I211" s="97"/>
      <c r="J211" s="300"/>
      <c r="K211" s="97"/>
      <c r="L211" s="301"/>
      <c r="M211" s="126"/>
      <c r="N211" s="97"/>
      <c r="O211" s="302"/>
      <c r="P211" s="126"/>
      <c r="Q211" s="97"/>
      <c r="R211" s="126"/>
      <c r="V211" s="97"/>
    </row>
    <row r="212" spans="1:22" s="8" customFormat="1" ht="16.5" customHeight="1">
      <c r="A212" s="10"/>
      <c r="B212" s="6" t="s">
        <v>207</v>
      </c>
      <c r="C212" s="206">
        <v>1155.2</v>
      </c>
      <c r="D212" s="196" t="s">
        <v>126</v>
      </c>
      <c r="E212" s="333">
        <f>C212-C211</f>
        <v>-3.2000000000000455</v>
      </c>
      <c r="F212" s="126"/>
      <c r="G212" s="299"/>
      <c r="H212" s="126"/>
      <c r="I212" s="97"/>
      <c r="J212" s="300"/>
      <c r="K212" s="97"/>
      <c r="L212" s="301"/>
      <c r="M212" s="126"/>
      <c r="N212" s="97"/>
      <c r="O212" s="302"/>
      <c r="P212" s="126"/>
      <c r="Q212" s="97"/>
      <c r="R212" s="126"/>
      <c r="V212" s="97"/>
    </row>
    <row r="214" spans="1:22" s="8" customFormat="1" ht="16.5" customHeight="1">
      <c r="A214" s="10">
        <v>4</v>
      </c>
      <c r="B214" s="112" t="s">
        <v>448</v>
      </c>
      <c r="C214" s="362">
        <v>49811</v>
      </c>
      <c r="D214" s="298">
        <v>1</v>
      </c>
      <c r="E214" s="206">
        <v>139.1</v>
      </c>
      <c r="F214" s="126">
        <f>E214*D214</f>
        <v>139.1</v>
      </c>
      <c r="G214" s="299">
        <v>45</v>
      </c>
      <c r="H214" s="126">
        <f aca="true" t="shared" si="53" ref="H214:H231">G214*2.54</f>
        <v>114.3</v>
      </c>
      <c r="I214" s="97">
        <f aca="true" t="shared" si="54" ref="I214:I231">F214*H214</f>
        <v>15899.13</v>
      </c>
      <c r="J214" s="300">
        <v>0</v>
      </c>
      <c r="K214" s="97">
        <f aca="true" t="shared" si="55" ref="K214:K231">J214*D214</f>
        <v>0</v>
      </c>
      <c r="L214" s="301">
        <f aca="true" t="shared" si="56" ref="L214:L231">G214</f>
        <v>45</v>
      </c>
      <c r="M214" s="126">
        <f aca="true" t="shared" si="57" ref="M214:M231">L214*2.54</f>
        <v>114.3</v>
      </c>
      <c r="N214" s="97">
        <f aca="true" t="shared" si="58" ref="N214:N231">K214*M214</f>
        <v>0</v>
      </c>
      <c r="O214" s="302">
        <v>0</v>
      </c>
      <c r="P214" s="126">
        <f aca="true" t="shared" si="59" ref="P214:P231">O214*2.54</f>
        <v>0</v>
      </c>
      <c r="Q214" s="97">
        <f aca="true" t="shared" si="60" ref="Q214:Q231">F214*P214</f>
        <v>0</v>
      </c>
      <c r="R214" s="126">
        <f aca="true" t="shared" si="61" ref="R214:R231">K214*P214</f>
        <v>0</v>
      </c>
      <c r="V214" s="97"/>
    </row>
    <row r="215" spans="1:22" s="8" customFormat="1" ht="16.5" customHeight="1">
      <c r="A215" s="10">
        <v>4</v>
      </c>
      <c r="B215" s="112" t="s">
        <v>449</v>
      </c>
      <c r="C215" s="362" t="s">
        <v>450</v>
      </c>
      <c r="D215" s="298">
        <v>1</v>
      </c>
      <c r="E215" s="206">
        <v>95.9</v>
      </c>
      <c r="F215" s="126">
        <f>E215*D215+(C20*Cal!D43*Oil_density)</f>
        <v>542.2295172578164</v>
      </c>
      <c r="G215" s="299">
        <f>45+0.5*1.8*C20</f>
        <v>45.55307429224899</v>
      </c>
      <c r="H215" s="126">
        <f t="shared" si="53"/>
        <v>115.70480870231245</v>
      </c>
      <c r="I215" s="97">
        <f t="shared" si="54"/>
        <v>62738.56256706287</v>
      </c>
      <c r="J215" s="300">
        <v>0</v>
      </c>
      <c r="K215" s="97">
        <f t="shared" si="55"/>
        <v>0</v>
      </c>
      <c r="L215" s="301">
        <f t="shared" si="56"/>
        <v>45.55307429224899</v>
      </c>
      <c r="M215" s="126">
        <f t="shared" si="57"/>
        <v>115.70480870231245</v>
      </c>
      <c r="N215" s="97">
        <f t="shared" si="58"/>
        <v>0</v>
      </c>
      <c r="O215" s="302">
        <v>0</v>
      </c>
      <c r="P215" s="126">
        <f t="shared" si="59"/>
        <v>0</v>
      </c>
      <c r="Q215" s="97">
        <f t="shared" si="60"/>
        <v>0</v>
      </c>
      <c r="R215" s="126">
        <f t="shared" si="61"/>
        <v>0</v>
      </c>
      <c r="V215" s="97"/>
    </row>
    <row r="216" spans="1:22" s="8" customFormat="1" ht="16.5" customHeight="1">
      <c r="A216" s="10">
        <v>4</v>
      </c>
      <c r="B216" s="112" t="s">
        <v>451</v>
      </c>
      <c r="C216" s="362" t="s">
        <v>452</v>
      </c>
      <c r="D216" s="298">
        <v>1</v>
      </c>
      <c r="E216" s="206">
        <v>26.7</v>
      </c>
      <c r="F216" s="126">
        <f aca="true" t="shared" si="62" ref="F216:F231">E216*D216</f>
        <v>26.7</v>
      </c>
      <c r="G216" s="299">
        <v>45</v>
      </c>
      <c r="H216" s="126">
        <f t="shared" si="53"/>
        <v>114.3</v>
      </c>
      <c r="I216" s="97">
        <f t="shared" si="54"/>
        <v>3051.81</v>
      </c>
      <c r="J216" s="300">
        <v>0</v>
      </c>
      <c r="K216" s="97">
        <f t="shared" si="55"/>
        <v>0</v>
      </c>
      <c r="L216" s="301">
        <f t="shared" si="56"/>
        <v>45</v>
      </c>
      <c r="M216" s="126">
        <f t="shared" si="57"/>
        <v>114.3</v>
      </c>
      <c r="N216" s="97">
        <f t="shared" si="58"/>
        <v>0</v>
      </c>
      <c r="O216" s="302">
        <v>0</v>
      </c>
      <c r="P216" s="126">
        <f t="shared" si="59"/>
        <v>0</v>
      </c>
      <c r="Q216" s="97">
        <f t="shared" si="60"/>
        <v>0</v>
      </c>
      <c r="R216" s="126">
        <f t="shared" si="61"/>
        <v>0</v>
      </c>
      <c r="V216" s="97"/>
    </row>
    <row r="217" spans="1:22" s="8" customFormat="1" ht="16.5" customHeight="1">
      <c r="A217" s="10">
        <v>4</v>
      </c>
      <c r="B217" s="112" t="s">
        <v>453</v>
      </c>
      <c r="C217" s="362">
        <v>49813</v>
      </c>
      <c r="D217" s="298">
        <v>1</v>
      </c>
      <c r="E217" s="206">
        <v>321.6</v>
      </c>
      <c r="F217" s="126">
        <f t="shared" si="62"/>
        <v>321.6</v>
      </c>
      <c r="G217" s="299">
        <v>43.9</v>
      </c>
      <c r="H217" s="126">
        <f t="shared" si="53"/>
        <v>111.506</v>
      </c>
      <c r="I217" s="97">
        <f t="shared" si="54"/>
        <v>35860.329600000005</v>
      </c>
      <c r="J217" s="300">
        <v>0</v>
      </c>
      <c r="K217" s="97">
        <f t="shared" si="55"/>
        <v>0</v>
      </c>
      <c r="L217" s="301">
        <f t="shared" si="56"/>
        <v>43.9</v>
      </c>
      <c r="M217" s="126">
        <f t="shared" si="57"/>
        <v>111.506</v>
      </c>
      <c r="N217" s="97">
        <f t="shared" si="58"/>
        <v>0</v>
      </c>
      <c r="O217" s="302">
        <v>0</v>
      </c>
      <c r="P217" s="126">
        <f t="shared" si="59"/>
        <v>0</v>
      </c>
      <c r="Q217" s="97">
        <f t="shared" si="60"/>
        <v>0</v>
      </c>
      <c r="R217" s="126">
        <f t="shared" si="61"/>
        <v>0</v>
      </c>
      <c r="V217" s="97"/>
    </row>
    <row r="218" spans="1:22" s="8" customFormat="1" ht="33.75" customHeight="1">
      <c r="A218" s="10">
        <v>4</v>
      </c>
      <c r="B218" s="364" t="s">
        <v>565</v>
      </c>
      <c r="C218" s="362" t="s">
        <v>566</v>
      </c>
      <c r="D218" s="298">
        <v>1</v>
      </c>
      <c r="E218" s="206">
        <v>23.5</v>
      </c>
      <c r="F218" s="126">
        <f t="shared" si="62"/>
        <v>23.5</v>
      </c>
      <c r="G218" s="299">
        <v>43.24</v>
      </c>
      <c r="H218" s="126">
        <f t="shared" si="53"/>
        <v>109.82960000000001</v>
      </c>
      <c r="I218" s="97">
        <f t="shared" si="54"/>
        <v>2580.9956</v>
      </c>
      <c r="J218" s="300">
        <v>0</v>
      </c>
      <c r="K218" s="97">
        <f t="shared" si="55"/>
        <v>0</v>
      </c>
      <c r="L218" s="301">
        <f t="shared" si="56"/>
        <v>43.24</v>
      </c>
      <c r="M218" s="126">
        <f t="shared" si="57"/>
        <v>109.82960000000001</v>
      </c>
      <c r="N218" s="97">
        <f t="shared" si="58"/>
        <v>0</v>
      </c>
      <c r="O218" s="302">
        <v>-2.39</v>
      </c>
      <c r="P218" s="126">
        <f t="shared" si="59"/>
        <v>-6.070600000000001</v>
      </c>
      <c r="Q218" s="97">
        <f t="shared" si="60"/>
        <v>-142.65910000000002</v>
      </c>
      <c r="R218" s="126">
        <f t="shared" si="61"/>
        <v>0</v>
      </c>
      <c r="V218" s="97"/>
    </row>
    <row r="219" spans="1:22" s="8" customFormat="1" ht="16.5" customHeight="1">
      <c r="A219" s="10">
        <v>4</v>
      </c>
      <c r="B219" s="112" t="s">
        <v>567</v>
      </c>
      <c r="C219" s="362" t="s">
        <v>568</v>
      </c>
      <c r="D219" s="298">
        <v>1</v>
      </c>
      <c r="E219" s="206">
        <v>26.9</v>
      </c>
      <c r="F219" s="126">
        <f t="shared" si="62"/>
        <v>26.9</v>
      </c>
      <c r="G219" s="299">
        <v>43.24</v>
      </c>
      <c r="H219" s="126">
        <f t="shared" si="53"/>
        <v>109.82960000000001</v>
      </c>
      <c r="I219" s="97">
        <f t="shared" si="54"/>
        <v>2954.41624</v>
      </c>
      <c r="J219" s="300">
        <v>0</v>
      </c>
      <c r="K219" s="97">
        <f t="shared" si="55"/>
        <v>0</v>
      </c>
      <c r="L219" s="301">
        <f t="shared" si="56"/>
        <v>43.24</v>
      </c>
      <c r="M219" s="126">
        <f t="shared" si="57"/>
        <v>109.82960000000001</v>
      </c>
      <c r="N219" s="97">
        <f t="shared" si="58"/>
        <v>0</v>
      </c>
      <c r="O219" s="302">
        <v>2.39</v>
      </c>
      <c r="P219" s="126">
        <f t="shared" si="59"/>
        <v>6.070600000000001</v>
      </c>
      <c r="Q219" s="97">
        <f t="shared" si="60"/>
        <v>163.29914000000002</v>
      </c>
      <c r="R219" s="126">
        <f t="shared" si="61"/>
        <v>0</v>
      </c>
      <c r="V219" s="97"/>
    </row>
    <row r="220" spans="1:22" s="8" customFormat="1" ht="16.5" customHeight="1">
      <c r="A220" s="10">
        <v>4</v>
      </c>
      <c r="B220" s="112" t="s">
        <v>569</v>
      </c>
      <c r="C220" s="362" t="s">
        <v>570</v>
      </c>
      <c r="D220" s="298">
        <v>1</v>
      </c>
      <c r="E220" s="206">
        <v>25.6</v>
      </c>
      <c r="F220" s="126">
        <f t="shared" si="62"/>
        <v>25.6</v>
      </c>
      <c r="G220" s="299">
        <v>43.24</v>
      </c>
      <c r="H220" s="126">
        <f t="shared" si="53"/>
        <v>109.82960000000001</v>
      </c>
      <c r="I220" s="97">
        <f t="shared" si="54"/>
        <v>2811.6377600000005</v>
      </c>
      <c r="J220" s="300">
        <v>0</v>
      </c>
      <c r="K220" s="97">
        <f t="shared" si="55"/>
        <v>0</v>
      </c>
      <c r="L220" s="301">
        <f t="shared" si="56"/>
        <v>43.24</v>
      </c>
      <c r="M220" s="126">
        <f t="shared" si="57"/>
        <v>109.82960000000001</v>
      </c>
      <c r="N220" s="97">
        <f t="shared" si="58"/>
        <v>0</v>
      </c>
      <c r="O220" s="302">
        <v>0.8</v>
      </c>
      <c r="P220" s="126">
        <f t="shared" si="59"/>
        <v>2.032</v>
      </c>
      <c r="Q220" s="97">
        <f t="shared" si="60"/>
        <v>52.019200000000005</v>
      </c>
      <c r="R220" s="126">
        <f t="shared" si="61"/>
        <v>0</v>
      </c>
      <c r="V220" s="97"/>
    </row>
    <row r="221" spans="1:22" s="8" customFormat="1" ht="16.5" customHeight="1">
      <c r="A221" s="10">
        <v>4</v>
      </c>
      <c r="B221" s="112" t="s">
        <v>571</v>
      </c>
      <c r="C221" s="362" t="s">
        <v>572</v>
      </c>
      <c r="D221" s="298">
        <v>1</v>
      </c>
      <c r="E221" s="206">
        <v>11</v>
      </c>
      <c r="F221" s="126">
        <f t="shared" si="62"/>
        <v>11</v>
      </c>
      <c r="G221" s="299">
        <v>43.24</v>
      </c>
      <c r="H221" s="126">
        <f t="shared" si="53"/>
        <v>109.82960000000001</v>
      </c>
      <c r="I221" s="97">
        <f t="shared" si="54"/>
        <v>1208.1256</v>
      </c>
      <c r="J221" s="300">
        <v>0</v>
      </c>
      <c r="K221" s="97">
        <f t="shared" si="55"/>
        <v>0</v>
      </c>
      <c r="L221" s="301">
        <f t="shared" si="56"/>
        <v>43.24</v>
      </c>
      <c r="M221" s="126">
        <f t="shared" si="57"/>
        <v>109.82960000000001</v>
      </c>
      <c r="N221" s="97">
        <f t="shared" si="58"/>
        <v>0</v>
      </c>
      <c r="O221" s="302">
        <v>-0.1</v>
      </c>
      <c r="P221" s="126">
        <f t="shared" si="59"/>
        <v>-0.254</v>
      </c>
      <c r="Q221" s="97">
        <f t="shared" si="60"/>
        <v>-2.794</v>
      </c>
      <c r="R221" s="126">
        <f t="shared" si="61"/>
        <v>0</v>
      </c>
      <c r="V221" s="97"/>
    </row>
    <row r="222" spans="1:22" s="8" customFormat="1" ht="16.5" customHeight="1">
      <c r="A222" s="10">
        <v>4</v>
      </c>
      <c r="B222" s="112" t="s">
        <v>573</v>
      </c>
      <c r="C222" s="362" t="s">
        <v>574</v>
      </c>
      <c r="D222" s="298">
        <v>1</v>
      </c>
      <c r="E222" s="206">
        <v>1.7</v>
      </c>
      <c r="F222" s="126">
        <f t="shared" si="62"/>
        <v>1.7</v>
      </c>
      <c r="G222" s="299">
        <v>43.24</v>
      </c>
      <c r="H222" s="126">
        <f t="shared" si="53"/>
        <v>109.82960000000001</v>
      </c>
      <c r="I222" s="97">
        <f t="shared" si="54"/>
        <v>186.71032000000002</v>
      </c>
      <c r="J222" s="300">
        <v>0</v>
      </c>
      <c r="K222" s="97">
        <f t="shared" si="55"/>
        <v>0</v>
      </c>
      <c r="L222" s="301">
        <f t="shared" si="56"/>
        <v>43.24</v>
      </c>
      <c r="M222" s="126">
        <f t="shared" si="57"/>
        <v>109.82960000000001</v>
      </c>
      <c r="N222" s="97">
        <f t="shared" si="58"/>
        <v>0</v>
      </c>
      <c r="O222" s="302">
        <v>3</v>
      </c>
      <c r="P222" s="126">
        <f t="shared" si="59"/>
        <v>7.62</v>
      </c>
      <c r="Q222" s="97">
        <f t="shared" si="60"/>
        <v>12.954</v>
      </c>
      <c r="R222" s="126">
        <f t="shared" si="61"/>
        <v>0</v>
      </c>
      <c r="V222" s="97"/>
    </row>
    <row r="223" spans="1:22" s="8" customFormat="1" ht="16.5" customHeight="1">
      <c r="A223" s="10">
        <v>4</v>
      </c>
      <c r="B223" s="112" t="s">
        <v>575</v>
      </c>
      <c r="C223" s="362">
        <v>49812</v>
      </c>
      <c r="D223" s="298">
        <v>1</v>
      </c>
      <c r="E223" s="206">
        <v>425.8</v>
      </c>
      <c r="F223" s="126">
        <f t="shared" si="62"/>
        <v>425.8</v>
      </c>
      <c r="G223" s="299">
        <v>45.3</v>
      </c>
      <c r="H223" s="126">
        <f t="shared" si="53"/>
        <v>115.062</v>
      </c>
      <c r="I223" s="97">
        <f t="shared" si="54"/>
        <v>48993.3996</v>
      </c>
      <c r="J223" s="300">
        <v>0</v>
      </c>
      <c r="K223" s="97">
        <f t="shared" si="55"/>
        <v>0</v>
      </c>
      <c r="L223" s="301">
        <f t="shared" si="56"/>
        <v>45.3</v>
      </c>
      <c r="M223" s="126">
        <f t="shared" si="57"/>
        <v>115.062</v>
      </c>
      <c r="N223" s="97">
        <f t="shared" si="58"/>
        <v>0</v>
      </c>
      <c r="O223" s="302">
        <v>0</v>
      </c>
      <c r="P223" s="126">
        <f t="shared" si="59"/>
        <v>0</v>
      </c>
      <c r="Q223" s="97">
        <f t="shared" si="60"/>
        <v>0</v>
      </c>
      <c r="R223" s="126">
        <f t="shared" si="61"/>
        <v>0</v>
      </c>
      <c r="V223" s="97"/>
    </row>
    <row r="224" spans="1:22" s="8" customFormat="1" ht="16.5" customHeight="1">
      <c r="A224" s="10">
        <v>4</v>
      </c>
      <c r="B224" s="112" t="s">
        <v>576</v>
      </c>
      <c r="C224" s="362" t="s">
        <v>577</v>
      </c>
      <c r="D224" s="298">
        <v>1</v>
      </c>
      <c r="E224" s="206">
        <v>7.4</v>
      </c>
      <c r="F224" s="126">
        <f t="shared" si="62"/>
        <v>7.4</v>
      </c>
      <c r="G224" s="299">
        <v>43.56</v>
      </c>
      <c r="H224" s="126">
        <f t="shared" si="53"/>
        <v>110.64240000000001</v>
      </c>
      <c r="I224" s="97">
        <f t="shared" si="54"/>
        <v>818.75376</v>
      </c>
      <c r="J224" s="300">
        <v>0</v>
      </c>
      <c r="K224" s="97">
        <f t="shared" si="55"/>
        <v>0</v>
      </c>
      <c r="L224" s="301">
        <f t="shared" si="56"/>
        <v>43.56</v>
      </c>
      <c r="M224" s="126">
        <f t="shared" si="57"/>
        <v>110.64240000000001</v>
      </c>
      <c r="N224" s="97">
        <f t="shared" si="58"/>
        <v>0</v>
      </c>
      <c r="O224" s="302">
        <v>0</v>
      </c>
      <c r="P224" s="126">
        <f t="shared" si="59"/>
        <v>0</v>
      </c>
      <c r="Q224" s="97">
        <f t="shared" si="60"/>
        <v>0</v>
      </c>
      <c r="R224" s="126">
        <f t="shared" si="61"/>
        <v>0</v>
      </c>
      <c r="V224" s="97"/>
    </row>
    <row r="225" spans="1:22" s="8" customFormat="1" ht="16.5" customHeight="1">
      <c r="A225" s="10">
        <v>4</v>
      </c>
      <c r="B225" s="112" t="s">
        <v>578</v>
      </c>
      <c r="C225" s="362" t="s">
        <v>579</v>
      </c>
      <c r="D225" s="298">
        <v>1</v>
      </c>
      <c r="E225" s="206">
        <v>12.6</v>
      </c>
      <c r="F225" s="126">
        <f t="shared" si="62"/>
        <v>12.6</v>
      </c>
      <c r="G225" s="299">
        <v>47.75</v>
      </c>
      <c r="H225" s="126">
        <f t="shared" si="53"/>
        <v>121.285</v>
      </c>
      <c r="I225" s="97">
        <f t="shared" si="54"/>
        <v>1528.1909999999998</v>
      </c>
      <c r="J225" s="300">
        <v>0</v>
      </c>
      <c r="K225" s="97">
        <f t="shared" si="55"/>
        <v>0</v>
      </c>
      <c r="L225" s="301">
        <f t="shared" si="56"/>
        <v>47.75</v>
      </c>
      <c r="M225" s="126">
        <f t="shared" si="57"/>
        <v>121.285</v>
      </c>
      <c r="N225" s="97">
        <f t="shared" si="58"/>
        <v>0</v>
      </c>
      <c r="O225" s="302">
        <v>2.6</v>
      </c>
      <c r="P225" s="126">
        <f t="shared" si="59"/>
        <v>6.604</v>
      </c>
      <c r="Q225" s="97">
        <f t="shared" si="60"/>
        <v>83.21039999999999</v>
      </c>
      <c r="R225" s="126">
        <f t="shared" si="61"/>
        <v>0</v>
      </c>
      <c r="V225" s="97"/>
    </row>
    <row r="226" spans="1:22" s="8" customFormat="1" ht="16.5" customHeight="1">
      <c r="A226" s="10">
        <v>4</v>
      </c>
      <c r="B226" s="112" t="s">
        <v>580</v>
      </c>
      <c r="C226" s="362" t="s">
        <v>579</v>
      </c>
      <c r="D226" s="298">
        <v>1</v>
      </c>
      <c r="E226" s="206">
        <v>12.6</v>
      </c>
      <c r="F226" s="126">
        <f t="shared" si="62"/>
        <v>12.6</v>
      </c>
      <c r="G226" s="299">
        <v>47.75</v>
      </c>
      <c r="H226" s="126">
        <f t="shared" si="53"/>
        <v>121.285</v>
      </c>
      <c r="I226" s="97">
        <f t="shared" si="54"/>
        <v>1528.1909999999998</v>
      </c>
      <c r="J226" s="300">
        <v>0</v>
      </c>
      <c r="K226" s="97">
        <f t="shared" si="55"/>
        <v>0</v>
      </c>
      <c r="L226" s="301">
        <f t="shared" si="56"/>
        <v>47.75</v>
      </c>
      <c r="M226" s="126">
        <f t="shared" si="57"/>
        <v>121.285</v>
      </c>
      <c r="N226" s="97">
        <f t="shared" si="58"/>
        <v>0</v>
      </c>
      <c r="O226" s="302">
        <v>-2.6</v>
      </c>
      <c r="P226" s="126">
        <f t="shared" si="59"/>
        <v>-6.604</v>
      </c>
      <c r="Q226" s="97">
        <f t="shared" si="60"/>
        <v>-83.21039999999999</v>
      </c>
      <c r="R226" s="126">
        <f t="shared" si="61"/>
        <v>0</v>
      </c>
      <c r="V226" s="97"/>
    </row>
    <row r="227" spans="1:22" s="8" customFormat="1" ht="16.5" customHeight="1">
      <c r="A227" s="10">
        <v>4</v>
      </c>
      <c r="B227" s="112" t="s">
        <v>581</v>
      </c>
      <c r="C227" s="362" t="s">
        <v>582</v>
      </c>
      <c r="D227" s="298">
        <v>1</v>
      </c>
      <c r="E227" s="206">
        <v>4.1</v>
      </c>
      <c r="F227" s="126">
        <f t="shared" si="62"/>
        <v>4.1</v>
      </c>
      <c r="G227" s="299">
        <v>47.5</v>
      </c>
      <c r="H227" s="126">
        <f t="shared" si="53"/>
        <v>120.65</v>
      </c>
      <c r="I227" s="97">
        <f t="shared" si="54"/>
        <v>494.66499999999996</v>
      </c>
      <c r="J227" s="300">
        <v>0</v>
      </c>
      <c r="K227" s="97">
        <f t="shared" si="55"/>
        <v>0</v>
      </c>
      <c r="L227" s="301">
        <f t="shared" si="56"/>
        <v>47.5</v>
      </c>
      <c r="M227" s="126">
        <f t="shared" si="57"/>
        <v>120.65</v>
      </c>
      <c r="N227" s="97">
        <f t="shared" si="58"/>
        <v>0</v>
      </c>
      <c r="O227" s="302">
        <v>0</v>
      </c>
      <c r="P227" s="126">
        <f t="shared" si="59"/>
        <v>0</v>
      </c>
      <c r="Q227" s="97">
        <f t="shared" si="60"/>
        <v>0</v>
      </c>
      <c r="R227" s="126">
        <f t="shared" si="61"/>
        <v>0</v>
      </c>
      <c r="V227" s="97"/>
    </row>
    <row r="228" spans="1:22" s="8" customFormat="1" ht="16.5" customHeight="1">
      <c r="A228" s="10">
        <v>4</v>
      </c>
      <c r="B228" s="112" t="s">
        <v>583</v>
      </c>
      <c r="C228" s="10" t="s">
        <v>584</v>
      </c>
      <c r="D228" s="298">
        <v>1</v>
      </c>
      <c r="E228" s="206">
        <v>5</v>
      </c>
      <c r="F228" s="126">
        <f t="shared" si="62"/>
        <v>5</v>
      </c>
      <c r="G228" s="299">
        <v>45.5</v>
      </c>
      <c r="H228" s="126">
        <f t="shared" si="53"/>
        <v>115.57000000000001</v>
      </c>
      <c r="I228" s="97">
        <f t="shared" si="54"/>
        <v>577.85</v>
      </c>
      <c r="J228" s="300">
        <v>0</v>
      </c>
      <c r="K228" s="97">
        <f t="shared" si="55"/>
        <v>0</v>
      </c>
      <c r="L228" s="301">
        <f t="shared" si="56"/>
        <v>45.5</v>
      </c>
      <c r="M228" s="126">
        <f t="shared" si="57"/>
        <v>115.57000000000001</v>
      </c>
      <c r="N228" s="97">
        <f t="shared" si="58"/>
        <v>0</v>
      </c>
      <c r="O228" s="302">
        <v>3.2</v>
      </c>
      <c r="P228" s="126">
        <f t="shared" si="59"/>
        <v>8.128</v>
      </c>
      <c r="Q228" s="97">
        <f t="shared" si="60"/>
        <v>40.64</v>
      </c>
      <c r="R228" s="126">
        <f t="shared" si="61"/>
        <v>0</v>
      </c>
      <c r="V228" s="97"/>
    </row>
    <row r="229" spans="1:22" s="8" customFormat="1" ht="16.5" customHeight="1">
      <c r="A229" s="10">
        <v>4</v>
      </c>
      <c r="B229" s="112" t="s">
        <v>585</v>
      </c>
      <c r="C229" s="10" t="s">
        <v>586</v>
      </c>
      <c r="D229" s="298">
        <v>1</v>
      </c>
      <c r="E229" s="206">
        <v>6.3</v>
      </c>
      <c r="F229" s="126">
        <f t="shared" si="62"/>
        <v>6.3</v>
      </c>
      <c r="G229" s="299">
        <v>45.5</v>
      </c>
      <c r="H229" s="126">
        <f t="shared" si="53"/>
        <v>115.57000000000001</v>
      </c>
      <c r="I229" s="97">
        <f t="shared" si="54"/>
        <v>728.091</v>
      </c>
      <c r="J229" s="300">
        <v>0</v>
      </c>
      <c r="K229" s="97">
        <f t="shared" si="55"/>
        <v>0</v>
      </c>
      <c r="L229" s="301">
        <f t="shared" si="56"/>
        <v>45.5</v>
      </c>
      <c r="M229" s="126">
        <f t="shared" si="57"/>
        <v>115.57000000000001</v>
      </c>
      <c r="N229" s="97">
        <f t="shared" si="58"/>
        <v>0</v>
      </c>
      <c r="O229" s="302">
        <v>1.5</v>
      </c>
      <c r="P229" s="126">
        <f t="shared" si="59"/>
        <v>3.81</v>
      </c>
      <c r="Q229" s="97">
        <f t="shared" si="60"/>
        <v>24.003</v>
      </c>
      <c r="R229" s="126">
        <f t="shared" si="61"/>
        <v>0</v>
      </c>
      <c r="V229" s="97"/>
    </row>
    <row r="230" spans="1:22" s="8" customFormat="1" ht="16.5" customHeight="1">
      <c r="A230" s="10">
        <v>4</v>
      </c>
      <c r="B230" s="112" t="s">
        <v>587</v>
      </c>
      <c r="C230" s="10" t="s">
        <v>586</v>
      </c>
      <c r="D230" s="298">
        <v>1</v>
      </c>
      <c r="E230" s="206">
        <v>6.3</v>
      </c>
      <c r="F230" s="126">
        <f t="shared" si="62"/>
        <v>6.3</v>
      </c>
      <c r="G230" s="299">
        <v>45.5</v>
      </c>
      <c r="H230" s="126">
        <f t="shared" si="53"/>
        <v>115.57000000000001</v>
      </c>
      <c r="I230" s="97">
        <f t="shared" si="54"/>
        <v>728.091</v>
      </c>
      <c r="J230" s="300">
        <v>0</v>
      </c>
      <c r="K230" s="97">
        <f t="shared" si="55"/>
        <v>0</v>
      </c>
      <c r="L230" s="301">
        <f t="shared" si="56"/>
        <v>45.5</v>
      </c>
      <c r="M230" s="126">
        <f t="shared" si="57"/>
        <v>115.57000000000001</v>
      </c>
      <c r="N230" s="97">
        <f t="shared" si="58"/>
        <v>0</v>
      </c>
      <c r="O230" s="302">
        <v>-1.5</v>
      </c>
      <c r="P230" s="126">
        <f t="shared" si="59"/>
        <v>-3.81</v>
      </c>
      <c r="Q230" s="97">
        <f t="shared" si="60"/>
        <v>-24.003</v>
      </c>
      <c r="R230" s="126">
        <f t="shared" si="61"/>
        <v>0</v>
      </c>
      <c r="V230" s="97"/>
    </row>
    <row r="231" spans="1:22" s="8" customFormat="1" ht="33.75" customHeight="1">
      <c r="A231" s="10">
        <v>4</v>
      </c>
      <c r="B231" s="364" t="s">
        <v>472</v>
      </c>
      <c r="C231" s="10" t="s">
        <v>586</v>
      </c>
      <c r="D231" s="298">
        <v>1</v>
      </c>
      <c r="E231" s="206">
        <v>6.3</v>
      </c>
      <c r="F231" s="126">
        <f t="shared" si="62"/>
        <v>6.3</v>
      </c>
      <c r="G231" s="299">
        <v>45.5</v>
      </c>
      <c r="H231" s="126">
        <f t="shared" si="53"/>
        <v>115.57000000000001</v>
      </c>
      <c r="I231" s="97">
        <f t="shared" si="54"/>
        <v>728.091</v>
      </c>
      <c r="J231" s="300">
        <v>0</v>
      </c>
      <c r="K231" s="97">
        <f t="shared" si="55"/>
        <v>0</v>
      </c>
      <c r="L231" s="301">
        <f t="shared" si="56"/>
        <v>45.5</v>
      </c>
      <c r="M231" s="126">
        <f t="shared" si="57"/>
        <v>115.57000000000001</v>
      </c>
      <c r="N231" s="97">
        <f t="shared" si="58"/>
        <v>0</v>
      </c>
      <c r="O231" s="302">
        <v>-3.2</v>
      </c>
      <c r="P231" s="126">
        <f t="shared" si="59"/>
        <v>-8.128</v>
      </c>
      <c r="Q231" s="97">
        <f t="shared" si="60"/>
        <v>-51.2064</v>
      </c>
      <c r="R231" s="126">
        <f t="shared" si="61"/>
        <v>0</v>
      </c>
      <c r="V231" s="97"/>
    </row>
    <row r="232" ht="16.5" customHeight="1">
      <c r="B232" s="99" t="s">
        <v>473</v>
      </c>
    </row>
    <row r="233" spans="1:22" s="8" customFormat="1" ht="33.75" customHeight="1">
      <c r="A233" s="10">
        <v>3</v>
      </c>
      <c r="B233" s="364" t="s">
        <v>474</v>
      </c>
      <c r="C233" s="372" t="s">
        <v>475</v>
      </c>
      <c r="D233" s="298">
        <v>1</v>
      </c>
      <c r="E233" s="206">
        <v>39.4</v>
      </c>
      <c r="F233" s="126">
        <f>E233*D233</f>
        <v>39.4</v>
      </c>
      <c r="G233" s="299">
        <v>47.75</v>
      </c>
      <c r="H233" s="126">
        <f>G233*2.54</f>
        <v>121.285</v>
      </c>
      <c r="I233" s="97">
        <f>F233*H233</f>
        <v>4778.629</v>
      </c>
      <c r="J233" s="300">
        <v>0</v>
      </c>
      <c r="K233" s="97">
        <f>J233*D233</f>
        <v>0</v>
      </c>
      <c r="L233" s="301">
        <f>G233</f>
        <v>47.75</v>
      </c>
      <c r="M233" s="126">
        <f>L233*2.54</f>
        <v>121.285</v>
      </c>
      <c r="N233" s="97">
        <f>K233*M233</f>
        <v>0</v>
      </c>
      <c r="O233" s="302">
        <v>2.5</v>
      </c>
      <c r="P233" s="126">
        <f>O233*2.54</f>
        <v>6.35</v>
      </c>
      <c r="Q233" s="97">
        <f>F233*P233</f>
        <v>250.18999999999997</v>
      </c>
      <c r="R233" s="126">
        <f>K233*P233</f>
        <v>0</v>
      </c>
      <c r="V233" s="97"/>
    </row>
    <row r="234" spans="1:22" s="8" customFormat="1" ht="33.75" customHeight="1">
      <c r="A234" s="10">
        <v>3</v>
      </c>
      <c r="B234" s="364" t="s">
        <v>476</v>
      </c>
      <c r="C234" s="372" t="s">
        <v>477</v>
      </c>
      <c r="D234" s="298">
        <v>1</v>
      </c>
      <c r="E234" s="206">
        <v>37.6</v>
      </c>
      <c r="F234" s="126">
        <f>E234*D234</f>
        <v>37.6</v>
      </c>
      <c r="G234" s="299">
        <v>47.75</v>
      </c>
      <c r="H234" s="126">
        <f>G234*2.54</f>
        <v>121.285</v>
      </c>
      <c r="I234" s="97">
        <f>F234*H234</f>
        <v>4560.316</v>
      </c>
      <c r="J234" s="300">
        <v>0</v>
      </c>
      <c r="K234" s="97">
        <f>J234*D234</f>
        <v>0</v>
      </c>
      <c r="L234" s="301">
        <f>G234</f>
        <v>47.75</v>
      </c>
      <c r="M234" s="126">
        <f>L234*2.54</f>
        <v>121.285</v>
      </c>
      <c r="N234" s="97">
        <f>K234*M234</f>
        <v>0</v>
      </c>
      <c r="O234" s="302">
        <v>2.5</v>
      </c>
      <c r="P234" s="126">
        <f>O234*2.54</f>
        <v>6.35</v>
      </c>
      <c r="Q234" s="97">
        <f>F234*P234</f>
        <v>238.76</v>
      </c>
      <c r="R234" s="126">
        <f>K234*P234</f>
        <v>0</v>
      </c>
      <c r="V234" s="97"/>
    </row>
    <row r="235" spans="1:22" s="8" customFormat="1" ht="25.5" customHeight="1">
      <c r="A235" s="10">
        <v>3</v>
      </c>
      <c r="B235" s="112" t="s">
        <v>478</v>
      </c>
      <c r="C235" s="369" t="s">
        <v>479</v>
      </c>
      <c r="D235" s="298">
        <v>1</v>
      </c>
      <c r="E235" s="206">
        <v>2.2</v>
      </c>
      <c r="F235" s="126">
        <f>E235*D235</f>
        <v>2.2</v>
      </c>
      <c r="G235" s="299">
        <v>47.64</v>
      </c>
      <c r="H235" s="126">
        <f>G235*2.54</f>
        <v>121.0056</v>
      </c>
      <c r="I235" s="97">
        <f>F235*H235</f>
        <v>266.21232000000003</v>
      </c>
      <c r="J235" s="300">
        <v>0</v>
      </c>
      <c r="K235" s="97">
        <f>J235*D235</f>
        <v>0</v>
      </c>
      <c r="L235" s="301">
        <f>G235</f>
        <v>47.64</v>
      </c>
      <c r="M235" s="126">
        <f>L235*2.54</f>
        <v>121.0056</v>
      </c>
      <c r="N235" s="97">
        <f>K235*M235</f>
        <v>0</v>
      </c>
      <c r="O235" s="302">
        <v>0</v>
      </c>
      <c r="P235" s="126">
        <f>O235*2.54</f>
        <v>0</v>
      </c>
      <c r="Q235" s="97">
        <f>F235*P235</f>
        <v>0</v>
      </c>
      <c r="R235" s="126">
        <f>K235*P235</f>
        <v>0</v>
      </c>
      <c r="V235" s="97"/>
    </row>
    <row r="236" spans="1:22" s="105" customFormat="1" ht="16.5" customHeight="1">
      <c r="A236" s="103">
        <v>3</v>
      </c>
      <c r="B236" s="266" t="s">
        <v>480</v>
      </c>
      <c r="C236" s="269" t="s">
        <v>351</v>
      </c>
      <c r="D236" s="200">
        <v>1</v>
      </c>
      <c r="E236" s="206">
        <v>2.7</v>
      </c>
      <c r="F236" s="207">
        <f>E236*D236</f>
        <v>2.7</v>
      </c>
      <c r="G236" s="228">
        <v>48.28</v>
      </c>
      <c r="H236" s="207">
        <f>G236*2.54</f>
        <v>122.6312</v>
      </c>
      <c r="I236" s="128">
        <f>F236*H236</f>
        <v>331.10424000000006</v>
      </c>
      <c r="J236" s="300">
        <v>0</v>
      </c>
      <c r="K236" s="128">
        <f>J236*D236</f>
        <v>0</v>
      </c>
      <c r="L236" s="230">
        <f>G236</f>
        <v>48.28</v>
      </c>
      <c r="M236" s="207">
        <f>L236*2.54</f>
        <v>122.6312</v>
      </c>
      <c r="N236" s="128">
        <f>K236*M236</f>
        <v>0</v>
      </c>
      <c r="O236" s="209">
        <v>0</v>
      </c>
      <c r="P236" s="207">
        <f>O236*2.54</f>
        <v>0</v>
      </c>
      <c r="Q236" s="128">
        <f>F236*P236</f>
        <v>0</v>
      </c>
      <c r="R236" s="207">
        <f>K236*P236</f>
        <v>0</v>
      </c>
      <c r="V236" s="128"/>
    </row>
    <row r="237" spans="1:22" s="8" customFormat="1" ht="16.5" customHeight="1">
      <c r="A237" s="10">
        <v>3</v>
      </c>
      <c r="B237" s="112" t="s">
        <v>481</v>
      </c>
      <c r="C237" s="362" t="s">
        <v>351</v>
      </c>
      <c r="D237" s="298">
        <v>1</v>
      </c>
      <c r="E237" s="206">
        <v>5.4</v>
      </c>
      <c r="F237" s="126">
        <f>E237*D237</f>
        <v>5.4</v>
      </c>
      <c r="G237" s="299">
        <v>47.9</v>
      </c>
      <c r="H237" s="126">
        <f>G237*2.54</f>
        <v>121.666</v>
      </c>
      <c r="I237" s="97">
        <f>F237*H237</f>
        <v>656.9964</v>
      </c>
      <c r="J237" s="300">
        <v>0</v>
      </c>
      <c r="K237" s="97">
        <f>J237*D237</f>
        <v>0</v>
      </c>
      <c r="L237" s="301">
        <f>G237</f>
        <v>47.9</v>
      </c>
      <c r="M237" s="126">
        <f>L237*2.54</f>
        <v>121.666</v>
      </c>
      <c r="N237" s="97">
        <f>K237*M237</f>
        <v>0</v>
      </c>
      <c r="O237" s="302">
        <v>0</v>
      </c>
      <c r="P237" s="126">
        <f>O237*2.54</f>
        <v>0</v>
      </c>
      <c r="Q237" s="97">
        <f>F237*P237</f>
        <v>0</v>
      </c>
      <c r="R237" s="126">
        <f>K237*P237</f>
        <v>0</v>
      </c>
      <c r="V237" s="97"/>
    </row>
    <row r="238" spans="1:22" s="8" customFormat="1" ht="16.5" customHeight="1">
      <c r="A238" s="10"/>
      <c r="B238" s="10" t="s">
        <v>482</v>
      </c>
      <c r="C238" s="10"/>
      <c r="D238" s="298"/>
      <c r="E238" s="206"/>
      <c r="F238" s="126"/>
      <c r="G238" s="299"/>
      <c r="H238" s="126"/>
      <c r="I238" s="97"/>
      <c r="J238" s="300"/>
      <c r="K238" s="97"/>
      <c r="L238" s="301"/>
      <c r="M238" s="126"/>
      <c r="N238" s="97"/>
      <c r="O238" s="302"/>
      <c r="P238" s="126"/>
      <c r="Q238" s="97"/>
      <c r="R238" s="126"/>
      <c r="V238" s="97"/>
    </row>
    <row r="239" spans="1:22" s="8" customFormat="1" ht="16.5" customHeight="1">
      <c r="A239" s="10">
        <v>3</v>
      </c>
      <c r="B239" s="112" t="s">
        <v>483</v>
      </c>
      <c r="C239" s="362" t="s">
        <v>484</v>
      </c>
      <c r="D239" s="298">
        <v>1</v>
      </c>
      <c r="E239" s="206">
        <v>24.8</v>
      </c>
      <c r="F239" s="126">
        <f aca="true" t="shared" si="63" ref="F239:F250">E239*D239</f>
        <v>24.8</v>
      </c>
      <c r="G239" s="299">
        <v>45.5</v>
      </c>
      <c r="H239" s="126">
        <f aca="true" t="shared" si="64" ref="H239:H250">G239*2.54</f>
        <v>115.57000000000001</v>
      </c>
      <c r="I239" s="97">
        <f aca="true" t="shared" si="65" ref="I239:I250">F239*H239</f>
        <v>2866.1360000000004</v>
      </c>
      <c r="J239" s="300">
        <v>0</v>
      </c>
      <c r="K239" s="97">
        <f aca="true" t="shared" si="66" ref="K239:K250">J239*D239</f>
        <v>0</v>
      </c>
      <c r="L239" s="301">
        <f aca="true" t="shared" si="67" ref="L239:L250">G239</f>
        <v>45.5</v>
      </c>
      <c r="M239" s="126">
        <f aca="true" t="shared" si="68" ref="M239:M250">L239*2.54</f>
        <v>115.57000000000001</v>
      </c>
      <c r="N239" s="97">
        <f aca="true" t="shared" si="69" ref="N239:N250">K239*M239</f>
        <v>0</v>
      </c>
      <c r="O239" s="302">
        <v>3.4</v>
      </c>
      <c r="P239" s="126">
        <f aca="true" t="shared" si="70" ref="P239:P250">O239*2.54</f>
        <v>8.636</v>
      </c>
      <c r="Q239" s="97">
        <f aca="true" t="shared" si="71" ref="Q239:Q250">F239*P239</f>
        <v>214.1728</v>
      </c>
      <c r="R239" s="126">
        <f aca="true" t="shared" si="72" ref="R239:R250">K239*P239</f>
        <v>0</v>
      </c>
      <c r="V239" s="97"/>
    </row>
    <row r="240" spans="1:22" s="8" customFormat="1" ht="16.5" customHeight="1">
      <c r="A240" s="10">
        <v>3</v>
      </c>
      <c r="B240" s="112" t="s">
        <v>485</v>
      </c>
      <c r="C240" s="10">
        <v>55385</v>
      </c>
      <c r="D240" s="298">
        <v>1</v>
      </c>
      <c r="E240" s="206">
        <v>33.7</v>
      </c>
      <c r="F240" s="126">
        <f t="shared" si="63"/>
        <v>33.7</v>
      </c>
      <c r="G240" s="299">
        <v>45.5</v>
      </c>
      <c r="H240" s="126">
        <f t="shared" si="64"/>
        <v>115.57000000000001</v>
      </c>
      <c r="I240" s="97">
        <f t="shared" si="65"/>
        <v>3894.7090000000007</v>
      </c>
      <c r="J240" s="300">
        <v>0</v>
      </c>
      <c r="K240" s="97">
        <f t="shared" si="66"/>
        <v>0</v>
      </c>
      <c r="L240" s="301">
        <f t="shared" si="67"/>
        <v>45.5</v>
      </c>
      <c r="M240" s="126">
        <f t="shared" si="68"/>
        <v>115.57000000000001</v>
      </c>
      <c r="N240" s="97">
        <f t="shared" si="69"/>
        <v>0</v>
      </c>
      <c r="O240" s="302">
        <v>1.7</v>
      </c>
      <c r="P240" s="126">
        <f t="shared" si="70"/>
        <v>4.318</v>
      </c>
      <c r="Q240" s="97">
        <f t="shared" si="71"/>
        <v>145.5166</v>
      </c>
      <c r="R240" s="126">
        <f t="shared" si="72"/>
        <v>0</v>
      </c>
      <c r="V240" s="97"/>
    </row>
    <row r="241" spans="1:22" s="8" customFormat="1" ht="16.5" customHeight="1">
      <c r="A241" s="10">
        <v>3</v>
      </c>
      <c r="B241" s="112" t="s">
        <v>486</v>
      </c>
      <c r="C241" s="10">
        <v>52261</v>
      </c>
      <c r="D241" s="298">
        <v>1</v>
      </c>
      <c r="E241" s="206">
        <v>4</v>
      </c>
      <c r="F241" s="126">
        <f t="shared" si="63"/>
        <v>4</v>
      </c>
      <c r="G241" s="299">
        <v>44.4</v>
      </c>
      <c r="H241" s="126">
        <f t="shared" si="64"/>
        <v>112.776</v>
      </c>
      <c r="I241" s="97">
        <f t="shared" si="65"/>
        <v>451.104</v>
      </c>
      <c r="J241" s="300">
        <v>0</v>
      </c>
      <c r="K241" s="97">
        <f t="shared" si="66"/>
        <v>0</v>
      </c>
      <c r="L241" s="126">
        <f t="shared" si="67"/>
        <v>44.4</v>
      </c>
      <c r="M241" s="126">
        <f t="shared" si="68"/>
        <v>112.776</v>
      </c>
      <c r="N241" s="97">
        <f t="shared" si="69"/>
        <v>0</v>
      </c>
      <c r="O241" s="302">
        <v>1.5</v>
      </c>
      <c r="P241" s="126">
        <f t="shared" si="70"/>
        <v>3.81</v>
      </c>
      <c r="Q241" s="97">
        <f t="shared" si="71"/>
        <v>15.24</v>
      </c>
      <c r="R241" s="126">
        <f t="shared" si="72"/>
        <v>0</v>
      </c>
      <c r="V241" s="97"/>
    </row>
    <row r="242" spans="1:22" s="8" customFormat="1" ht="16.5" customHeight="1">
      <c r="A242" s="10">
        <v>3</v>
      </c>
      <c r="B242" s="112" t="s">
        <v>487</v>
      </c>
      <c r="C242" s="10" t="s">
        <v>488</v>
      </c>
      <c r="D242" s="298">
        <v>1</v>
      </c>
      <c r="E242" s="206">
        <v>21.3</v>
      </c>
      <c r="F242" s="126">
        <f t="shared" si="63"/>
        <v>21.3</v>
      </c>
      <c r="G242" s="299">
        <v>45.5</v>
      </c>
      <c r="H242" s="126">
        <f t="shared" si="64"/>
        <v>115.57000000000001</v>
      </c>
      <c r="I242" s="97">
        <f t="shared" si="65"/>
        <v>2461.641</v>
      </c>
      <c r="J242" s="300">
        <v>0</v>
      </c>
      <c r="K242" s="97">
        <f t="shared" si="66"/>
        <v>0</v>
      </c>
      <c r="L242" s="301">
        <f t="shared" si="67"/>
        <v>45.5</v>
      </c>
      <c r="M242" s="126">
        <f t="shared" si="68"/>
        <v>115.57000000000001</v>
      </c>
      <c r="N242" s="97">
        <f t="shared" si="69"/>
        <v>0</v>
      </c>
      <c r="O242" s="302">
        <v>1.9</v>
      </c>
      <c r="P242" s="126">
        <f t="shared" si="70"/>
        <v>4.826</v>
      </c>
      <c r="Q242" s="97">
        <f t="shared" si="71"/>
        <v>102.79379999999999</v>
      </c>
      <c r="R242" s="126">
        <f t="shared" si="72"/>
        <v>0</v>
      </c>
      <c r="V242" s="97"/>
    </row>
    <row r="243" spans="1:22" s="8" customFormat="1" ht="16.5" customHeight="1">
      <c r="A243" s="10">
        <v>3</v>
      </c>
      <c r="B243" s="112" t="s">
        <v>489</v>
      </c>
      <c r="C243" s="10">
        <v>55388</v>
      </c>
      <c r="D243" s="298">
        <v>1</v>
      </c>
      <c r="E243" s="206">
        <v>22.2</v>
      </c>
      <c r="F243" s="126">
        <f t="shared" si="63"/>
        <v>22.2</v>
      </c>
      <c r="G243" s="299">
        <v>45.5</v>
      </c>
      <c r="H243" s="126">
        <f t="shared" si="64"/>
        <v>115.57000000000001</v>
      </c>
      <c r="I243" s="97">
        <f t="shared" si="65"/>
        <v>2565.654</v>
      </c>
      <c r="J243" s="300">
        <v>0</v>
      </c>
      <c r="K243" s="97">
        <f t="shared" si="66"/>
        <v>0</v>
      </c>
      <c r="L243" s="301">
        <f t="shared" si="67"/>
        <v>45.5</v>
      </c>
      <c r="M243" s="126">
        <f t="shared" si="68"/>
        <v>115.57000000000001</v>
      </c>
      <c r="N243" s="97">
        <f t="shared" si="69"/>
        <v>0</v>
      </c>
      <c r="O243" s="302">
        <v>-1.7</v>
      </c>
      <c r="P243" s="126">
        <f t="shared" si="70"/>
        <v>-4.318</v>
      </c>
      <c r="Q243" s="97">
        <f t="shared" si="71"/>
        <v>-95.85959999999999</v>
      </c>
      <c r="R243" s="126">
        <f t="shared" si="72"/>
        <v>0</v>
      </c>
      <c r="V243" s="97"/>
    </row>
    <row r="244" spans="1:22" s="8" customFormat="1" ht="16.5" customHeight="1">
      <c r="A244" s="10">
        <v>3</v>
      </c>
      <c r="B244" s="112" t="s">
        <v>490</v>
      </c>
      <c r="C244" s="10">
        <v>52260</v>
      </c>
      <c r="D244" s="298">
        <v>1</v>
      </c>
      <c r="E244" s="206">
        <v>5.1</v>
      </c>
      <c r="F244" s="126">
        <f t="shared" si="63"/>
        <v>5.1</v>
      </c>
      <c r="G244" s="299">
        <v>44.4</v>
      </c>
      <c r="H244" s="126">
        <f t="shared" si="64"/>
        <v>112.776</v>
      </c>
      <c r="I244" s="97">
        <f t="shared" si="65"/>
        <v>575.1575999999999</v>
      </c>
      <c r="J244" s="300">
        <v>0</v>
      </c>
      <c r="K244" s="97">
        <f t="shared" si="66"/>
        <v>0</v>
      </c>
      <c r="L244" s="126">
        <f t="shared" si="67"/>
        <v>44.4</v>
      </c>
      <c r="M244" s="126">
        <f t="shared" si="68"/>
        <v>112.776</v>
      </c>
      <c r="N244" s="97">
        <f t="shared" si="69"/>
        <v>0</v>
      </c>
      <c r="O244" s="302">
        <v>0.5</v>
      </c>
      <c r="P244" s="126">
        <f t="shared" si="70"/>
        <v>1.27</v>
      </c>
      <c r="Q244" s="97">
        <f t="shared" si="71"/>
        <v>6.476999999999999</v>
      </c>
      <c r="R244" s="126">
        <f t="shared" si="72"/>
        <v>0</v>
      </c>
      <c r="V244" s="97"/>
    </row>
    <row r="245" spans="1:22" s="8" customFormat="1" ht="16.5" customHeight="1">
      <c r="A245" s="10">
        <v>3</v>
      </c>
      <c r="B245" s="112" t="s">
        <v>491</v>
      </c>
      <c r="C245" s="10" t="s">
        <v>492</v>
      </c>
      <c r="D245" s="298">
        <v>1</v>
      </c>
      <c r="E245" s="206">
        <v>17.2</v>
      </c>
      <c r="F245" s="126">
        <f t="shared" si="63"/>
        <v>17.2</v>
      </c>
      <c r="G245" s="299">
        <v>45.5</v>
      </c>
      <c r="H245" s="126">
        <f t="shared" si="64"/>
        <v>115.57000000000001</v>
      </c>
      <c r="I245" s="97">
        <f t="shared" si="65"/>
        <v>1987.804</v>
      </c>
      <c r="J245" s="300">
        <v>0</v>
      </c>
      <c r="K245" s="97">
        <f t="shared" si="66"/>
        <v>0</v>
      </c>
      <c r="L245" s="301">
        <f t="shared" si="67"/>
        <v>45.5</v>
      </c>
      <c r="M245" s="126">
        <f t="shared" si="68"/>
        <v>115.57000000000001</v>
      </c>
      <c r="N245" s="97">
        <f t="shared" si="69"/>
        <v>0</v>
      </c>
      <c r="O245" s="302">
        <v>-1.9</v>
      </c>
      <c r="P245" s="126">
        <f t="shared" si="70"/>
        <v>-4.826</v>
      </c>
      <c r="Q245" s="97">
        <f t="shared" si="71"/>
        <v>-83.00719999999998</v>
      </c>
      <c r="R245" s="126">
        <f t="shared" si="72"/>
        <v>0</v>
      </c>
      <c r="V245" s="97"/>
    </row>
    <row r="246" spans="1:22" s="8" customFormat="1" ht="16.5" customHeight="1">
      <c r="A246" s="10">
        <v>3</v>
      </c>
      <c r="B246" s="112" t="s">
        <v>493</v>
      </c>
      <c r="C246" s="10">
        <v>55524</v>
      </c>
      <c r="D246" s="298">
        <v>1</v>
      </c>
      <c r="E246" s="206">
        <v>23.1</v>
      </c>
      <c r="F246" s="126">
        <f t="shared" si="63"/>
        <v>23.1</v>
      </c>
      <c r="G246" s="299">
        <v>45.5</v>
      </c>
      <c r="H246" s="126">
        <f t="shared" si="64"/>
        <v>115.57000000000001</v>
      </c>
      <c r="I246" s="97">
        <f t="shared" si="65"/>
        <v>2669.6670000000004</v>
      </c>
      <c r="J246" s="300">
        <v>0</v>
      </c>
      <c r="K246" s="97">
        <f t="shared" si="66"/>
        <v>0</v>
      </c>
      <c r="L246" s="126">
        <f t="shared" si="67"/>
        <v>45.5</v>
      </c>
      <c r="M246" s="126">
        <f t="shared" si="68"/>
        <v>115.57000000000001</v>
      </c>
      <c r="N246" s="97">
        <f t="shared" si="69"/>
        <v>0</v>
      </c>
      <c r="O246" s="302">
        <v>-3.4</v>
      </c>
      <c r="P246" s="126">
        <f t="shared" si="70"/>
        <v>-8.636</v>
      </c>
      <c r="Q246" s="97">
        <f t="shared" si="71"/>
        <v>-199.4916</v>
      </c>
      <c r="R246" s="126">
        <f t="shared" si="72"/>
        <v>0</v>
      </c>
      <c r="V246" s="97"/>
    </row>
    <row r="247" spans="1:22" s="8" customFormat="1" ht="16.5" customHeight="1">
      <c r="A247" s="10">
        <v>3</v>
      </c>
      <c r="B247" s="112" t="s">
        <v>494</v>
      </c>
      <c r="C247" s="10">
        <v>52265</v>
      </c>
      <c r="D247" s="298">
        <v>1</v>
      </c>
      <c r="E247" s="206">
        <v>5.4</v>
      </c>
      <c r="F247" s="126">
        <f t="shared" si="63"/>
        <v>5.4</v>
      </c>
      <c r="G247" s="299">
        <v>44.4</v>
      </c>
      <c r="H247" s="126">
        <f t="shared" si="64"/>
        <v>112.776</v>
      </c>
      <c r="I247" s="97">
        <f t="shared" si="65"/>
        <v>608.9904</v>
      </c>
      <c r="J247" s="300">
        <v>0</v>
      </c>
      <c r="K247" s="97">
        <f t="shared" si="66"/>
        <v>0</v>
      </c>
      <c r="L247" s="126">
        <f t="shared" si="67"/>
        <v>44.4</v>
      </c>
      <c r="M247" s="126">
        <f t="shared" si="68"/>
        <v>112.776</v>
      </c>
      <c r="N247" s="97">
        <f t="shared" si="69"/>
        <v>0</v>
      </c>
      <c r="O247" s="302">
        <v>0</v>
      </c>
      <c r="P247" s="126">
        <f t="shared" si="70"/>
        <v>0</v>
      </c>
      <c r="Q247" s="97">
        <f t="shared" si="71"/>
        <v>0</v>
      </c>
      <c r="R247" s="126">
        <f t="shared" si="72"/>
        <v>0</v>
      </c>
      <c r="V247" s="97"/>
    </row>
    <row r="248" spans="1:22" s="8" customFormat="1" ht="16.5" customHeight="1">
      <c r="A248" s="10">
        <v>3</v>
      </c>
      <c r="B248" s="112" t="s">
        <v>495</v>
      </c>
      <c r="C248" s="362" t="s">
        <v>496</v>
      </c>
      <c r="D248" s="298">
        <v>1</v>
      </c>
      <c r="E248" s="206">
        <v>28.4</v>
      </c>
      <c r="F248" s="126">
        <f t="shared" si="63"/>
        <v>28.4</v>
      </c>
      <c r="G248" s="351">
        <v>38.625</v>
      </c>
      <c r="H248" s="126">
        <f t="shared" si="64"/>
        <v>98.1075</v>
      </c>
      <c r="I248" s="97">
        <f t="shared" si="65"/>
        <v>2786.2529999999997</v>
      </c>
      <c r="J248" s="300">
        <v>0</v>
      </c>
      <c r="K248" s="97">
        <f t="shared" si="66"/>
        <v>0</v>
      </c>
      <c r="L248" s="301">
        <f t="shared" si="67"/>
        <v>38.625</v>
      </c>
      <c r="M248" s="126">
        <f t="shared" si="68"/>
        <v>98.1075</v>
      </c>
      <c r="N248" s="97">
        <f t="shared" si="69"/>
        <v>0</v>
      </c>
      <c r="O248" s="302">
        <v>3.5</v>
      </c>
      <c r="P248" s="126">
        <f t="shared" si="70"/>
        <v>8.89</v>
      </c>
      <c r="Q248" s="97">
        <f t="shared" si="71"/>
        <v>252.476</v>
      </c>
      <c r="R248" s="126">
        <f t="shared" si="72"/>
        <v>0</v>
      </c>
      <c r="V248" s="97"/>
    </row>
    <row r="249" spans="1:22" s="8" customFormat="1" ht="16.5" customHeight="1">
      <c r="A249" s="10">
        <v>3</v>
      </c>
      <c r="B249" s="112" t="s">
        <v>497</v>
      </c>
      <c r="C249" s="362" t="s">
        <v>498</v>
      </c>
      <c r="D249" s="298">
        <v>1</v>
      </c>
      <c r="E249" s="206">
        <v>37</v>
      </c>
      <c r="F249" s="126">
        <f t="shared" si="63"/>
        <v>37</v>
      </c>
      <c r="G249" s="351">
        <v>38.625</v>
      </c>
      <c r="H249" s="126">
        <f t="shared" si="64"/>
        <v>98.1075</v>
      </c>
      <c r="I249" s="97">
        <f t="shared" si="65"/>
        <v>3629.9775</v>
      </c>
      <c r="J249" s="300">
        <v>0</v>
      </c>
      <c r="K249" s="97">
        <f t="shared" si="66"/>
        <v>0</v>
      </c>
      <c r="L249" s="301">
        <f t="shared" si="67"/>
        <v>38.625</v>
      </c>
      <c r="M249" s="126">
        <f t="shared" si="68"/>
        <v>98.1075</v>
      </c>
      <c r="N249" s="97">
        <f t="shared" si="69"/>
        <v>0</v>
      </c>
      <c r="O249" s="302">
        <v>3.5</v>
      </c>
      <c r="P249" s="126">
        <f t="shared" si="70"/>
        <v>8.89</v>
      </c>
      <c r="Q249" s="97">
        <f t="shared" si="71"/>
        <v>328.93</v>
      </c>
      <c r="R249" s="126">
        <f t="shared" si="72"/>
        <v>0</v>
      </c>
      <c r="V249" s="97"/>
    </row>
    <row r="250" spans="1:27" s="194" customFormat="1" ht="33" customHeight="1">
      <c r="A250" s="10">
        <v>3</v>
      </c>
      <c r="B250" s="265" t="s">
        <v>631</v>
      </c>
      <c r="C250" s="10">
        <v>52368</v>
      </c>
      <c r="D250" s="298">
        <v>1</v>
      </c>
      <c r="E250" s="206">
        <v>286.1</v>
      </c>
      <c r="F250" s="126">
        <f t="shared" si="63"/>
        <v>286.1</v>
      </c>
      <c r="G250" s="299">
        <v>47.864</v>
      </c>
      <c r="H250" s="126">
        <f t="shared" si="64"/>
        <v>121.57455999999999</v>
      </c>
      <c r="I250" s="97">
        <f t="shared" si="65"/>
        <v>34782.481616</v>
      </c>
      <c r="J250" s="208">
        <v>184.027</v>
      </c>
      <c r="K250" s="97">
        <f t="shared" si="66"/>
        <v>184.027</v>
      </c>
      <c r="L250" s="301">
        <f t="shared" si="67"/>
        <v>47.864</v>
      </c>
      <c r="M250" s="126">
        <f t="shared" si="68"/>
        <v>121.57455999999999</v>
      </c>
      <c r="N250" s="97">
        <f t="shared" si="69"/>
        <v>22373.001553119997</v>
      </c>
      <c r="O250" s="302">
        <v>7.058</v>
      </c>
      <c r="P250" s="126">
        <f t="shared" si="70"/>
        <v>17.927319999999998</v>
      </c>
      <c r="Q250" s="97">
        <f t="shared" si="71"/>
        <v>5129.006252</v>
      </c>
      <c r="R250" s="126">
        <f t="shared" si="72"/>
        <v>3299.1109176399996</v>
      </c>
      <c r="S250" s="8"/>
      <c r="T250" s="8"/>
      <c r="U250" s="8"/>
      <c r="V250" s="195"/>
      <c r="W250" s="8"/>
      <c r="X250" s="8"/>
      <c r="Z250" s="8"/>
      <c r="AA250" s="8"/>
    </row>
    <row r="251" spans="1:22" s="8" customFormat="1" ht="16.5" customHeight="1">
      <c r="A251" s="10"/>
      <c r="B251" s="112"/>
      <c r="C251" s="10"/>
      <c r="D251" s="298"/>
      <c r="E251" s="351"/>
      <c r="F251" s="126"/>
      <c r="G251" s="299"/>
      <c r="H251" s="126"/>
      <c r="I251" s="97"/>
      <c r="J251" s="229"/>
      <c r="K251" s="126"/>
      <c r="L251" s="301"/>
      <c r="M251" s="126"/>
      <c r="N251" s="97"/>
      <c r="O251" s="302"/>
      <c r="P251" s="126"/>
      <c r="Q251" s="97"/>
      <c r="R251" s="126"/>
      <c r="V251" s="97"/>
    </row>
    <row r="252" spans="1:22" s="8" customFormat="1" ht="16.5" customHeight="1">
      <c r="A252" s="344"/>
      <c r="B252" s="373"/>
      <c r="C252" s="344"/>
      <c r="D252" s="374"/>
      <c r="E252" s="375"/>
      <c r="F252" s="376"/>
      <c r="G252" s="377"/>
      <c r="H252" s="376"/>
      <c r="I252" s="378"/>
      <c r="J252" s="379"/>
      <c r="K252" s="378"/>
      <c r="L252" s="380"/>
      <c r="M252" s="376"/>
      <c r="N252" s="378"/>
      <c r="O252" s="381"/>
      <c r="P252" s="376"/>
      <c r="Q252" s="378"/>
      <c r="R252" s="376"/>
      <c r="V252" s="97"/>
    </row>
    <row r="253" spans="1:22" s="8" customFormat="1" ht="16.5" customHeight="1">
      <c r="A253" s="101">
        <v>2</v>
      </c>
      <c r="B253" s="223" t="s">
        <v>632</v>
      </c>
      <c r="C253" s="179">
        <v>49889</v>
      </c>
      <c r="D253" s="182"/>
      <c r="E253" s="332"/>
      <c r="F253" s="117"/>
      <c r="G253" s="382"/>
      <c r="H253" s="117"/>
      <c r="I253" s="114"/>
      <c r="J253" s="288"/>
      <c r="K253" s="383"/>
      <c r="L253" s="384"/>
      <c r="M253" s="291"/>
      <c r="N253" s="204"/>
      <c r="O253" s="290"/>
      <c r="P253" s="291"/>
      <c r="Q253" s="204"/>
      <c r="R253" s="193"/>
      <c r="V253" s="97"/>
    </row>
    <row r="254" spans="1:22" s="8" customFormat="1" ht="16.5" customHeight="1">
      <c r="A254" s="10"/>
      <c r="B254" s="210" t="s">
        <v>218</v>
      </c>
      <c r="C254" s="291">
        <f>SUM(F257:F358)</f>
        <v>12455.699999999999</v>
      </c>
      <c r="D254" s="196" t="s">
        <v>126</v>
      </c>
      <c r="E254" s="322" t="s">
        <v>312</v>
      </c>
      <c r="F254" s="117"/>
      <c r="G254" s="382"/>
      <c r="H254" s="117"/>
      <c r="J254" s="288"/>
      <c r="L254" s="384"/>
      <c r="M254" s="291"/>
      <c r="N254" s="204"/>
      <c r="O254" s="290"/>
      <c r="P254" s="291"/>
      <c r="Q254" s="204"/>
      <c r="R254" s="193"/>
      <c r="V254" s="97"/>
    </row>
    <row r="255" spans="1:33" s="105" customFormat="1" ht="16.5" customHeight="1">
      <c r="A255" s="103"/>
      <c r="B255" s="331" t="s">
        <v>207</v>
      </c>
      <c r="C255" s="332">
        <v>12464</v>
      </c>
      <c r="D255" s="196" t="s">
        <v>126</v>
      </c>
      <c r="E255" s="333">
        <f>C255-C254</f>
        <v>8.300000000001091</v>
      </c>
      <c r="I255" s="352"/>
      <c r="O255" s="249"/>
      <c r="T255"/>
      <c r="U255"/>
      <c r="V255"/>
      <c r="W255"/>
      <c r="X255"/>
      <c r="Y255"/>
      <c r="Z255"/>
      <c r="AA255"/>
      <c r="AB255"/>
      <c r="AC255"/>
      <c r="AD255"/>
      <c r="AE255"/>
      <c r="AF255"/>
      <c r="AG255"/>
    </row>
    <row r="256" spans="1:22" s="8" customFormat="1" ht="16.5" customHeight="1">
      <c r="A256" s="10"/>
      <c r="B256" s="385"/>
      <c r="C256" s="120"/>
      <c r="D256" s="196"/>
      <c r="E256" s="332"/>
      <c r="F256" s="117"/>
      <c r="G256" s="382"/>
      <c r="H256" s="117"/>
      <c r="I256" s="385"/>
      <c r="J256" s="288"/>
      <c r="K256" s="383"/>
      <c r="L256" s="384"/>
      <c r="M256" s="291"/>
      <c r="N256" s="204"/>
      <c r="O256" s="290"/>
      <c r="P256" s="291"/>
      <c r="Q256" s="204"/>
      <c r="R256" s="193"/>
      <c r="V256" s="97"/>
    </row>
    <row r="257" spans="1:22" s="8" customFormat="1" ht="16.5" customHeight="1">
      <c r="A257" s="10">
        <v>3</v>
      </c>
      <c r="B257" s="129" t="s">
        <v>633</v>
      </c>
      <c r="C257" s="308">
        <v>55843</v>
      </c>
      <c r="D257" s="196"/>
      <c r="E257" s="332"/>
      <c r="F257" s="117"/>
      <c r="G257" s="382"/>
      <c r="H257" s="117"/>
      <c r="I257" s="385"/>
      <c r="J257" s="288"/>
      <c r="K257" s="383"/>
      <c r="L257" s="384"/>
      <c r="M257" s="291"/>
      <c r="N257" s="204"/>
      <c r="O257" s="290"/>
      <c r="P257" s="291"/>
      <c r="Q257" s="204"/>
      <c r="R257" s="193"/>
      <c r="V257" s="97"/>
    </row>
    <row r="258" spans="1:22" s="8" customFormat="1" ht="16.5" customHeight="1">
      <c r="A258" s="10">
        <v>4</v>
      </c>
      <c r="B258" s="8" t="s">
        <v>634</v>
      </c>
      <c r="C258" s="10">
        <v>49819</v>
      </c>
      <c r="D258" s="298">
        <v>1</v>
      </c>
      <c r="E258" s="206">
        <v>1301.7</v>
      </c>
      <c r="F258" s="126">
        <f>E258*D258</f>
        <v>1301.7</v>
      </c>
      <c r="G258" s="299">
        <v>27.322</v>
      </c>
      <c r="H258" s="126">
        <f>G258*2.54</f>
        <v>69.39788</v>
      </c>
      <c r="I258" s="97">
        <f>F258*H258</f>
        <v>90335.220396</v>
      </c>
      <c r="J258" s="293">
        <v>2669.8</v>
      </c>
      <c r="K258" s="126">
        <f>J258*D258</f>
        <v>2669.8</v>
      </c>
      <c r="L258" s="301">
        <v>27.506</v>
      </c>
      <c r="M258" s="126">
        <f>L258*2.54</f>
        <v>69.86524</v>
      </c>
      <c r="N258" s="97">
        <f>K258*M258</f>
        <v>186526.21775200003</v>
      </c>
      <c r="O258" s="302">
        <v>0</v>
      </c>
      <c r="P258" s="126">
        <f>O258*2.54</f>
        <v>0</v>
      </c>
      <c r="Q258" s="97">
        <f>F258*P258</f>
        <v>0</v>
      </c>
      <c r="R258" s="126">
        <f>K258*P258</f>
        <v>0</v>
      </c>
      <c r="V258" s="97"/>
    </row>
    <row r="259" spans="1:22" s="8" customFormat="1" ht="16.5" customHeight="1">
      <c r="A259" s="10"/>
      <c r="B259" s="8" t="s">
        <v>635</v>
      </c>
      <c r="C259" s="10"/>
      <c r="D259" s="298"/>
      <c r="E259" s="206"/>
      <c r="F259" s="126"/>
      <c r="G259" s="299"/>
      <c r="H259" s="126"/>
      <c r="I259" s="97"/>
      <c r="J259" s="293"/>
      <c r="K259" s="126"/>
      <c r="L259" s="301"/>
      <c r="M259" s="126"/>
      <c r="N259" s="97"/>
      <c r="O259" s="302"/>
      <c r="P259" s="126"/>
      <c r="Q259" s="97"/>
      <c r="R259" s="126"/>
      <c r="V259" s="97"/>
    </row>
    <row r="260" spans="1:22" s="8" customFormat="1" ht="16.5" customHeight="1">
      <c r="A260" s="10"/>
      <c r="C260" s="10"/>
      <c r="D260" s="298"/>
      <c r="E260" s="206"/>
      <c r="F260" s="126"/>
      <c r="G260" s="299"/>
      <c r="H260" s="126"/>
      <c r="I260" s="97"/>
      <c r="J260" s="293"/>
      <c r="K260" s="126"/>
      <c r="L260" s="301"/>
      <c r="M260" s="126"/>
      <c r="N260" s="97"/>
      <c r="O260" s="302"/>
      <c r="P260" s="126"/>
      <c r="Q260" s="97"/>
      <c r="R260" s="126"/>
      <c r="V260" s="97"/>
    </row>
    <row r="261" spans="1:22" s="8" customFormat="1" ht="16.5" customHeight="1">
      <c r="A261" s="10">
        <v>3</v>
      </c>
      <c r="B261" s="8" t="s">
        <v>636</v>
      </c>
      <c r="C261" s="362">
        <v>49845</v>
      </c>
      <c r="D261" s="298">
        <v>1</v>
      </c>
      <c r="E261" s="206">
        <v>7.5</v>
      </c>
      <c r="F261" s="126">
        <f aca="true" t="shared" si="73" ref="F261:F269">E261*D261</f>
        <v>7.5</v>
      </c>
      <c r="G261" s="299">
        <v>27.58</v>
      </c>
      <c r="H261" s="126">
        <f aca="true" t="shared" si="74" ref="H261:H269">G261*2.54</f>
        <v>70.05319999999999</v>
      </c>
      <c r="I261" s="97">
        <f aca="true" t="shared" si="75" ref="I261:I269">F261*H261</f>
        <v>525.3989999999999</v>
      </c>
      <c r="J261" s="300">
        <v>0</v>
      </c>
      <c r="K261" s="97">
        <f aca="true" t="shared" si="76" ref="K261:K269">J261*D261</f>
        <v>0</v>
      </c>
      <c r="L261" s="301">
        <f aca="true" t="shared" si="77" ref="L261:L269">G261</f>
        <v>27.58</v>
      </c>
      <c r="M261" s="126">
        <f aca="true" t="shared" si="78" ref="M261:M269">L261*2.54</f>
        <v>70.05319999999999</v>
      </c>
      <c r="N261" s="97">
        <f aca="true" t="shared" si="79" ref="N261:N269">K261*M261</f>
        <v>0</v>
      </c>
      <c r="O261" s="302">
        <v>0</v>
      </c>
      <c r="P261" s="126">
        <f aca="true" t="shared" si="80" ref="P261:P269">O261*2.54</f>
        <v>0</v>
      </c>
      <c r="Q261" s="97">
        <f aca="true" t="shared" si="81" ref="Q261:Q269">F261*P261</f>
        <v>0</v>
      </c>
      <c r="R261" s="126">
        <f aca="true" t="shared" si="82" ref="R261:R269">K261*P261</f>
        <v>0</v>
      </c>
      <c r="V261" s="97"/>
    </row>
    <row r="262" spans="1:22" s="8" customFormat="1" ht="16.5" customHeight="1">
      <c r="A262" s="10">
        <v>3</v>
      </c>
      <c r="B262" s="266" t="s">
        <v>637</v>
      </c>
      <c r="C262" s="10">
        <v>49894</v>
      </c>
      <c r="D262" s="298">
        <v>1</v>
      </c>
      <c r="E262" s="206">
        <v>8.6</v>
      </c>
      <c r="F262" s="126">
        <f t="shared" si="73"/>
        <v>8.6</v>
      </c>
      <c r="G262" s="299">
        <v>26.8</v>
      </c>
      <c r="H262" s="126">
        <f t="shared" si="74"/>
        <v>68.072</v>
      </c>
      <c r="I262" s="97">
        <f t="shared" si="75"/>
        <v>585.4192</v>
      </c>
      <c r="J262" s="300">
        <v>0</v>
      </c>
      <c r="K262" s="97">
        <f t="shared" si="76"/>
        <v>0</v>
      </c>
      <c r="L262" s="301">
        <f t="shared" si="77"/>
        <v>26.8</v>
      </c>
      <c r="M262" s="126">
        <f t="shared" si="78"/>
        <v>68.072</v>
      </c>
      <c r="N262" s="97">
        <f t="shared" si="79"/>
        <v>0</v>
      </c>
      <c r="O262" s="302">
        <v>0</v>
      </c>
      <c r="P262" s="126">
        <f t="shared" si="80"/>
        <v>0</v>
      </c>
      <c r="Q262" s="97">
        <f t="shared" si="81"/>
        <v>0</v>
      </c>
      <c r="R262" s="126">
        <f t="shared" si="82"/>
        <v>0</v>
      </c>
      <c r="V262" s="97"/>
    </row>
    <row r="263" spans="1:22" s="8" customFormat="1" ht="16.5" customHeight="1">
      <c r="A263" s="10">
        <v>3</v>
      </c>
      <c r="B263" s="266" t="s">
        <v>638</v>
      </c>
      <c r="C263" s="10">
        <v>55208</v>
      </c>
      <c r="D263" s="298">
        <v>1</v>
      </c>
      <c r="E263" s="206">
        <v>1.1</v>
      </c>
      <c r="F263" s="126">
        <f t="shared" si="73"/>
        <v>1.1</v>
      </c>
      <c r="G263" s="299">
        <v>26.8</v>
      </c>
      <c r="H263" s="126">
        <f t="shared" si="74"/>
        <v>68.072</v>
      </c>
      <c r="I263" s="97">
        <f t="shared" si="75"/>
        <v>74.87920000000001</v>
      </c>
      <c r="J263" s="300">
        <v>0</v>
      </c>
      <c r="K263" s="97">
        <f t="shared" si="76"/>
        <v>0</v>
      </c>
      <c r="L263" s="301">
        <f t="shared" si="77"/>
        <v>26.8</v>
      </c>
      <c r="M263" s="126">
        <f t="shared" si="78"/>
        <v>68.072</v>
      </c>
      <c r="N263" s="97">
        <f t="shared" si="79"/>
        <v>0</v>
      </c>
      <c r="O263" s="302">
        <v>0</v>
      </c>
      <c r="P263" s="126">
        <f t="shared" si="80"/>
        <v>0</v>
      </c>
      <c r="Q263" s="97">
        <f t="shared" si="81"/>
        <v>0</v>
      </c>
      <c r="R263" s="126">
        <f t="shared" si="82"/>
        <v>0</v>
      </c>
      <c r="V263" s="97"/>
    </row>
    <row r="264" spans="1:22" s="8" customFormat="1" ht="18.75" customHeight="1">
      <c r="A264" s="10">
        <v>3</v>
      </c>
      <c r="B264" s="8" t="s">
        <v>639</v>
      </c>
      <c r="C264" s="386">
        <v>52402</v>
      </c>
      <c r="D264" s="298">
        <v>1</v>
      </c>
      <c r="E264" s="206">
        <v>53.2</v>
      </c>
      <c r="F264" s="126">
        <f t="shared" si="73"/>
        <v>53.2</v>
      </c>
      <c r="G264" s="299">
        <v>27.8</v>
      </c>
      <c r="H264" s="126">
        <f t="shared" si="74"/>
        <v>70.61200000000001</v>
      </c>
      <c r="I264" s="97">
        <f t="shared" si="75"/>
        <v>3756.558400000001</v>
      </c>
      <c r="J264" s="300">
        <v>0</v>
      </c>
      <c r="K264" s="97">
        <f t="shared" si="76"/>
        <v>0</v>
      </c>
      <c r="L264" s="301">
        <f t="shared" si="77"/>
        <v>27.8</v>
      </c>
      <c r="M264" s="126">
        <f t="shared" si="78"/>
        <v>70.61200000000001</v>
      </c>
      <c r="N264" s="97">
        <f t="shared" si="79"/>
        <v>0</v>
      </c>
      <c r="O264" s="302">
        <v>0</v>
      </c>
      <c r="P264" s="126">
        <f t="shared" si="80"/>
        <v>0</v>
      </c>
      <c r="Q264" s="97">
        <f t="shared" si="81"/>
        <v>0</v>
      </c>
      <c r="R264" s="126">
        <f t="shared" si="82"/>
        <v>0</v>
      </c>
      <c r="V264" s="97"/>
    </row>
    <row r="265" spans="1:22" s="8" customFormat="1" ht="15.75" customHeight="1">
      <c r="A265" s="10">
        <v>3</v>
      </c>
      <c r="B265" s="8" t="s">
        <v>640</v>
      </c>
      <c r="C265" s="386">
        <v>55210</v>
      </c>
      <c r="D265" s="298">
        <v>1</v>
      </c>
      <c r="E265" s="206">
        <v>3.7</v>
      </c>
      <c r="F265" s="126">
        <f t="shared" si="73"/>
        <v>3.7</v>
      </c>
      <c r="G265" s="299">
        <v>26.28</v>
      </c>
      <c r="H265" s="126">
        <f t="shared" si="74"/>
        <v>66.7512</v>
      </c>
      <c r="I265" s="97">
        <f t="shared" si="75"/>
        <v>246.97944</v>
      </c>
      <c r="J265" s="300">
        <v>0</v>
      </c>
      <c r="K265" s="97">
        <f t="shared" si="76"/>
        <v>0</v>
      </c>
      <c r="L265" s="301">
        <f t="shared" si="77"/>
        <v>26.28</v>
      </c>
      <c r="M265" s="126">
        <f t="shared" si="78"/>
        <v>66.7512</v>
      </c>
      <c r="N265" s="97">
        <f t="shared" si="79"/>
        <v>0</v>
      </c>
      <c r="O265" s="302">
        <v>-3.14</v>
      </c>
      <c r="P265" s="126">
        <f t="shared" si="80"/>
        <v>-7.9756</v>
      </c>
      <c r="Q265" s="97">
        <f t="shared" si="81"/>
        <v>-29.50972</v>
      </c>
      <c r="R265" s="126">
        <f t="shared" si="82"/>
        <v>0</v>
      </c>
      <c r="V265" s="97"/>
    </row>
    <row r="266" spans="1:22" s="8" customFormat="1" ht="15.75" customHeight="1">
      <c r="A266" s="10">
        <v>3</v>
      </c>
      <c r="B266" s="8" t="s">
        <v>641</v>
      </c>
      <c r="C266" s="10">
        <v>52468</v>
      </c>
      <c r="D266" s="298">
        <v>1</v>
      </c>
      <c r="E266" s="206">
        <v>6.9</v>
      </c>
      <c r="F266" s="126">
        <f t="shared" si="73"/>
        <v>6.9</v>
      </c>
      <c r="G266" s="299">
        <v>27.25</v>
      </c>
      <c r="H266" s="126">
        <f t="shared" si="74"/>
        <v>69.215</v>
      </c>
      <c r="I266" s="97">
        <f t="shared" si="75"/>
        <v>477.5835000000001</v>
      </c>
      <c r="J266" s="300">
        <v>0</v>
      </c>
      <c r="K266" s="97">
        <f t="shared" si="76"/>
        <v>0</v>
      </c>
      <c r="L266" s="301">
        <f t="shared" si="77"/>
        <v>27.25</v>
      </c>
      <c r="M266" s="126">
        <f t="shared" si="78"/>
        <v>69.215</v>
      </c>
      <c r="N266" s="97">
        <f t="shared" si="79"/>
        <v>0</v>
      </c>
      <c r="O266" s="302">
        <v>-2.43</v>
      </c>
      <c r="P266" s="126">
        <f t="shared" si="80"/>
        <v>-6.1722</v>
      </c>
      <c r="Q266" s="97">
        <f t="shared" si="81"/>
        <v>-42.58818</v>
      </c>
      <c r="R266" s="126">
        <f t="shared" si="82"/>
        <v>0</v>
      </c>
      <c r="V266" s="97"/>
    </row>
    <row r="267" spans="1:22" s="8" customFormat="1" ht="16.5" customHeight="1">
      <c r="A267" s="10">
        <v>3</v>
      </c>
      <c r="B267" s="387" t="s">
        <v>642</v>
      </c>
      <c r="C267" s="388">
        <v>52238</v>
      </c>
      <c r="D267" s="389">
        <v>1</v>
      </c>
      <c r="E267" s="390">
        <v>6487.9</v>
      </c>
      <c r="F267" s="391">
        <f t="shared" si="73"/>
        <v>6487.9</v>
      </c>
      <c r="G267" s="392">
        <f>32.32+stroke_2*6.031</f>
        <v>36.84652398399754</v>
      </c>
      <c r="H267" s="391">
        <f t="shared" si="74"/>
        <v>93.59017091935375</v>
      </c>
      <c r="I267" s="393">
        <f t="shared" si="75"/>
        <v>607203.6699076751</v>
      </c>
      <c r="J267" s="394">
        <v>0</v>
      </c>
      <c r="K267" s="393">
        <f t="shared" si="76"/>
        <v>0</v>
      </c>
      <c r="L267" s="395">
        <f t="shared" si="77"/>
        <v>36.84652398399754</v>
      </c>
      <c r="M267" s="391">
        <f t="shared" si="78"/>
        <v>93.59017091935375</v>
      </c>
      <c r="N267" s="393">
        <f t="shared" si="79"/>
        <v>0</v>
      </c>
      <c r="O267" s="396">
        <v>-0.333</v>
      </c>
      <c r="P267" s="391">
        <f t="shared" si="80"/>
        <v>-0.84582</v>
      </c>
      <c r="Q267" s="393">
        <f t="shared" si="81"/>
        <v>-5487.5955779999995</v>
      </c>
      <c r="R267" s="391">
        <f t="shared" si="82"/>
        <v>0</v>
      </c>
      <c r="V267" s="97"/>
    </row>
    <row r="268" spans="1:22" s="8" customFormat="1" ht="16.5" customHeight="1">
      <c r="A268" s="10">
        <v>3</v>
      </c>
      <c r="B268" s="387" t="s">
        <v>643</v>
      </c>
      <c r="C268" s="397">
        <v>52496</v>
      </c>
      <c r="D268" s="389">
        <v>1</v>
      </c>
      <c r="E268" s="390">
        <v>1164.9</v>
      </c>
      <c r="F268" s="391">
        <f t="shared" si="73"/>
        <v>1164.9</v>
      </c>
      <c r="G268" s="392">
        <f>32.32+stroke_2*6.031</f>
        <v>36.84652398399754</v>
      </c>
      <c r="H268" s="391">
        <f t="shared" si="74"/>
        <v>93.59017091935375</v>
      </c>
      <c r="I268" s="393">
        <f t="shared" si="75"/>
        <v>109023.19010395519</v>
      </c>
      <c r="J268" s="394">
        <v>0</v>
      </c>
      <c r="K268" s="393">
        <f t="shared" si="76"/>
        <v>0</v>
      </c>
      <c r="L268" s="395">
        <f t="shared" si="77"/>
        <v>36.84652398399754</v>
      </c>
      <c r="M268" s="391">
        <f t="shared" si="78"/>
        <v>93.59017091935375</v>
      </c>
      <c r="N268" s="393">
        <f t="shared" si="79"/>
        <v>0</v>
      </c>
      <c r="O268" s="396">
        <v>-3.75</v>
      </c>
      <c r="P268" s="391">
        <f t="shared" si="80"/>
        <v>-9.525</v>
      </c>
      <c r="Q268" s="393">
        <f t="shared" si="81"/>
        <v>-11095.6725</v>
      </c>
      <c r="R268" s="391">
        <f t="shared" si="82"/>
        <v>0</v>
      </c>
      <c r="V268" s="97"/>
    </row>
    <row r="269" spans="1:22" s="105" customFormat="1" ht="16.5" customHeight="1">
      <c r="A269" s="10">
        <v>3</v>
      </c>
      <c r="B269" s="387" t="s">
        <v>644</v>
      </c>
      <c r="C269" s="388">
        <v>55228</v>
      </c>
      <c r="D269" s="389">
        <v>1</v>
      </c>
      <c r="E269" s="390">
        <v>4.8</v>
      </c>
      <c r="F269" s="391">
        <f t="shared" si="73"/>
        <v>4.8</v>
      </c>
      <c r="G269" s="392">
        <f>32.32+stroke_2*6.031</f>
        <v>36.84652398399754</v>
      </c>
      <c r="H269" s="391">
        <f t="shared" si="74"/>
        <v>93.59017091935375</v>
      </c>
      <c r="I269" s="393">
        <f t="shared" si="75"/>
        <v>449.232820412898</v>
      </c>
      <c r="J269" s="394">
        <v>0</v>
      </c>
      <c r="K269" s="393">
        <f t="shared" si="76"/>
        <v>0</v>
      </c>
      <c r="L269" s="395">
        <f t="shared" si="77"/>
        <v>36.84652398399754</v>
      </c>
      <c r="M269" s="391">
        <f t="shared" si="78"/>
        <v>93.59017091935375</v>
      </c>
      <c r="N269" s="393">
        <f t="shared" si="79"/>
        <v>0</v>
      </c>
      <c r="O269" s="396">
        <v>-3.75</v>
      </c>
      <c r="P269" s="391">
        <f t="shared" si="80"/>
        <v>-9.525</v>
      </c>
      <c r="Q269" s="393">
        <f t="shared" si="81"/>
        <v>-45.72</v>
      </c>
      <c r="R269" s="391">
        <f t="shared" si="82"/>
        <v>0</v>
      </c>
      <c r="V269" s="128"/>
    </row>
    <row r="270" spans="1:22" s="8" customFormat="1" ht="18.75" customHeight="1">
      <c r="A270" s="10"/>
      <c r="C270" s="362"/>
      <c r="D270" s="298"/>
      <c r="E270" s="206"/>
      <c r="F270" s="126"/>
      <c r="G270" s="299"/>
      <c r="H270" s="126"/>
      <c r="I270" s="97"/>
      <c r="J270" s="300"/>
      <c r="K270" s="97"/>
      <c r="L270" s="301"/>
      <c r="M270" s="126"/>
      <c r="N270" s="97"/>
      <c r="O270" s="302"/>
      <c r="P270" s="126"/>
      <c r="Q270" s="97"/>
      <c r="R270" s="126"/>
      <c r="V270" s="97"/>
    </row>
    <row r="271" spans="1:22" s="8" customFormat="1" ht="16.5" customHeight="1">
      <c r="A271" s="10">
        <v>4</v>
      </c>
      <c r="B271" s="361" t="s">
        <v>645</v>
      </c>
      <c r="C271" s="398">
        <v>55484</v>
      </c>
      <c r="D271" s="399"/>
      <c r="E271" s="206"/>
      <c r="F271" s="10"/>
      <c r="G271" s="299"/>
      <c r="H271" s="126"/>
      <c r="I271" s="97"/>
      <c r="J271" s="300"/>
      <c r="K271" s="97"/>
      <c r="L271" s="301"/>
      <c r="M271" s="126"/>
      <c r="N271" s="97"/>
      <c r="O271" s="302"/>
      <c r="P271" s="126"/>
      <c r="Q271" s="97"/>
      <c r="R271" s="126"/>
      <c r="V271" s="97"/>
    </row>
    <row r="272" spans="1:22" s="8" customFormat="1" ht="16.5" customHeight="1">
      <c r="A272" s="10"/>
      <c r="B272" s="6" t="s">
        <v>218</v>
      </c>
      <c r="C272" s="126">
        <f>SUM(F274:F278)</f>
        <v>128.4</v>
      </c>
      <c r="D272" s="196" t="s">
        <v>126</v>
      </c>
      <c r="E272" s="322" t="s">
        <v>312</v>
      </c>
      <c r="F272" s="10"/>
      <c r="G272" s="299"/>
      <c r="H272" s="126"/>
      <c r="I272" s="97"/>
      <c r="J272" s="300"/>
      <c r="K272" s="97"/>
      <c r="L272" s="301"/>
      <c r="M272" s="126"/>
      <c r="N272" s="97"/>
      <c r="O272" s="302"/>
      <c r="P272" s="126"/>
      <c r="Q272" s="97"/>
      <c r="R272" s="126"/>
      <c r="V272" s="97"/>
    </row>
    <row r="273" spans="1:22" s="8" customFormat="1" ht="15.75" customHeight="1">
      <c r="A273" s="10"/>
      <c r="B273" s="6" t="s">
        <v>207</v>
      </c>
      <c r="C273" s="206">
        <v>128.4</v>
      </c>
      <c r="D273" s="305" t="s">
        <v>126</v>
      </c>
      <c r="E273" s="333">
        <f>C273-C272</f>
        <v>0</v>
      </c>
      <c r="F273" s="126"/>
      <c r="G273" s="299"/>
      <c r="H273" s="126"/>
      <c r="I273" s="97"/>
      <c r="J273" s="300"/>
      <c r="K273" s="97"/>
      <c r="L273" s="301"/>
      <c r="M273" s="126"/>
      <c r="N273" s="97"/>
      <c r="O273" s="302"/>
      <c r="P273" s="126"/>
      <c r="Q273" s="97"/>
      <c r="R273" s="126"/>
      <c r="V273" s="97"/>
    </row>
    <row r="274" spans="1:27" s="401" customFormat="1" ht="16.5" customHeight="1">
      <c r="A274" s="103">
        <v>5</v>
      </c>
      <c r="B274" s="105" t="s">
        <v>646</v>
      </c>
      <c r="C274" s="227">
        <v>52247</v>
      </c>
      <c r="D274" s="200">
        <v>1</v>
      </c>
      <c r="E274" s="206">
        <v>92.3</v>
      </c>
      <c r="F274" s="207">
        <f>E274*D274</f>
        <v>92.3</v>
      </c>
      <c r="G274" s="228">
        <v>26.84</v>
      </c>
      <c r="H274" s="207">
        <f>G274*2.54</f>
        <v>68.17360000000001</v>
      </c>
      <c r="I274" s="128">
        <f>F274*H274</f>
        <v>6292.423280000001</v>
      </c>
      <c r="J274" s="300">
        <v>0</v>
      </c>
      <c r="K274" s="128">
        <f>J274*D274</f>
        <v>0</v>
      </c>
      <c r="L274" s="230">
        <f>G274</f>
        <v>26.84</v>
      </c>
      <c r="M274" s="207">
        <f>L274*2.54</f>
        <v>68.17360000000001</v>
      </c>
      <c r="N274" s="97">
        <f>K274*M274</f>
        <v>0</v>
      </c>
      <c r="O274" s="209">
        <v>-0.5</v>
      </c>
      <c r="P274" s="207">
        <f>O274*2.54</f>
        <v>-1.27</v>
      </c>
      <c r="Q274" s="128">
        <f>F274*P274</f>
        <v>-117.221</v>
      </c>
      <c r="R274" s="207">
        <f>K274*P274</f>
        <v>0</v>
      </c>
      <c r="S274" s="105"/>
      <c r="T274" s="105"/>
      <c r="U274" s="105"/>
      <c r="V274" s="400"/>
      <c r="W274" s="105"/>
      <c r="X274" s="105"/>
      <c r="Y274" s="105"/>
      <c r="Z274" s="105"/>
      <c r="AA274" s="105"/>
    </row>
    <row r="275" spans="1:27" s="401" customFormat="1" ht="16.5" customHeight="1">
      <c r="A275" s="103">
        <v>5</v>
      </c>
      <c r="B275" s="105" t="s">
        <v>647</v>
      </c>
      <c r="C275" s="227">
        <v>52438</v>
      </c>
      <c r="D275" s="200">
        <v>1</v>
      </c>
      <c r="E275" s="206">
        <v>15.3</v>
      </c>
      <c r="F275" s="207">
        <f>E275*D275</f>
        <v>15.3</v>
      </c>
      <c r="G275" s="228">
        <v>26.84</v>
      </c>
      <c r="H275" s="207">
        <f>G275*2.54</f>
        <v>68.17360000000001</v>
      </c>
      <c r="I275" s="128">
        <f>F275*H275</f>
        <v>1043.05608</v>
      </c>
      <c r="J275" s="300">
        <v>0</v>
      </c>
      <c r="K275" s="128">
        <f>J275*D275</f>
        <v>0</v>
      </c>
      <c r="L275" s="230">
        <f>G275</f>
        <v>26.84</v>
      </c>
      <c r="M275" s="207">
        <f>L275*2.54</f>
        <v>68.17360000000001</v>
      </c>
      <c r="N275" s="97">
        <f>K275*M275</f>
        <v>0</v>
      </c>
      <c r="O275" s="209">
        <v>-0.5</v>
      </c>
      <c r="P275" s="207">
        <f>O275*2.54</f>
        <v>-1.27</v>
      </c>
      <c r="Q275" s="128">
        <f>F275*P275</f>
        <v>-19.431</v>
      </c>
      <c r="R275" s="207">
        <f>K275*P275</f>
        <v>0</v>
      </c>
      <c r="S275" s="105"/>
      <c r="T275" s="105"/>
      <c r="U275" s="105"/>
      <c r="V275" s="400"/>
      <c r="W275" s="105"/>
      <c r="X275" s="105"/>
      <c r="Y275" s="105"/>
      <c r="Z275" s="105"/>
      <c r="AA275" s="105"/>
    </row>
    <row r="276" spans="1:27" s="401" customFormat="1" ht="16.5" customHeight="1">
      <c r="A276" s="103">
        <v>5</v>
      </c>
      <c r="B276" s="105" t="s">
        <v>526</v>
      </c>
      <c r="C276" s="269" t="s">
        <v>527</v>
      </c>
      <c r="D276" s="200">
        <v>1</v>
      </c>
      <c r="E276" s="206">
        <v>18.6</v>
      </c>
      <c r="F276" s="207">
        <f>E276*D276</f>
        <v>18.6</v>
      </c>
      <c r="G276" s="228">
        <v>26.84</v>
      </c>
      <c r="H276" s="207">
        <f>G276*2.54</f>
        <v>68.17360000000001</v>
      </c>
      <c r="I276" s="128">
        <f>F276*H276</f>
        <v>1268.0289600000003</v>
      </c>
      <c r="J276" s="300">
        <v>0</v>
      </c>
      <c r="K276" s="128">
        <f>J276*D276</f>
        <v>0</v>
      </c>
      <c r="L276" s="230">
        <f>G276</f>
        <v>26.84</v>
      </c>
      <c r="M276" s="207">
        <f>L276*2.54</f>
        <v>68.17360000000001</v>
      </c>
      <c r="N276" s="97">
        <f>K276*M276</f>
        <v>0</v>
      </c>
      <c r="O276" s="209">
        <v>-0.5</v>
      </c>
      <c r="P276" s="207">
        <f>O276*2.54</f>
        <v>-1.27</v>
      </c>
      <c r="Q276" s="128">
        <f>F276*P276</f>
        <v>-23.622000000000003</v>
      </c>
      <c r="R276" s="207">
        <f>K276*P276</f>
        <v>0</v>
      </c>
      <c r="S276" s="105"/>
      <c r="T276" s="105"/>
      <c r="U276" s="402"/>
      <c r="V276" s="400"/>
      <c r="W276" s="105"/>
      <c r="X276" s="105"/>
      <c r="Y276" s="105"/>
      <c r="Z276" s="105"/>
      <c r="AA276" s="105"/>
    </row>
    <row r="277" spans="1:27" s="401" customFormat="1" ht="16.5" customHeight="1">
      <c r="A277" s="103">
        <v>5</v>
      </c>
      <c r="B277" s="105" t="s">
        <v>528</v>
      </c>
      <c r="C277" s="269" t="s">
        <v>509</v>
      </c>
      <c r="D277" s="200">
        <v>1</v>
      </c>
      <c r="E277" s="206">
        <v>1.9</v>
      </c>
      <c r="F277" s="207">
        <f>E277*D277</f>
        <v>1.9</v>
      </c>
      <c r="G277" s="228">
        <v>26.84</v>
      </c>
      <c r="H277" s="207">
        <f>G277*2.54</f>
        <v>68.17360000000001</v>
      </c>
      <c r="I277" s="128">
        <f>F277*H277</f>
        <v>129.52984</v>
      </c>
      <c r="J277" s="300">
        <v>0</v>
      </c>
      <c r="K277" s="128">
        <f>J277*D277</f>
        <v>0</v>
      </c>
      <c r="L277" s="230">
        <f>G277</f>
        <v>26.84</v>
      </c>
      <c r="M277" s="207">
        <f>L277*2.54</f>
        <v>68.17360000000001</v>
      </c>
      <c r="N277" s="97">
        <f>K277*M277</f>
        <v>0</v>
      </c>
      <c r="O277" s="209">
        <v>-0.5</v>
      </c>
      <c r="P277" s="207">
        <f>O277*2.54</f>
        <v>-1.27</v>
      </c>
      <c r="Q277" s="128">
        <f>F277*P277</f>
        <v>-2.413</v>
      </c>
      <c r="R277" s="207">
        <f>K277*P277</f>
        <v>0</v>
      </c>
      <c r="S277" s="105"/>
      <c r="T277" s="105"/>
      <c r="U277" s="105"/>
      <c r="V277" s="400"/>
      <c r="W277" s="105"/>
      <c r="X277" s="105"/>
      <c r="Y277" s="105"/>
      <c r="Z277" s="105"/>
      <c r="AA277" s="105"/>
    </row>
    <row r="278" spans="1:27" s="401" customFormat="1" ht="16.5" customHeight="1">
      <c r="A278" s="103">
        <v>5</v>
      </c>
      <c r="B278" s="105" t="s">
        <v>529</v>
      </c>
      <c r="C278" s="269" t="s">
        <v>530</v>
      </c>
      <c r="D278" s="200">
        <v>1</v>
      </c>
      <c r="E278" s="206">
        <v>0.3</v>
      </c>
      <c r="F278" s="207">
        <f>E278*D278</f>
        <v>0.3</v>
      </c>
      <c r="G278" s="228">
        <v>26.84</v>
      </c>
      <c r="H278" s="207">
        <f>G278*2.54</f>
        <v>68.17360000000001</v>
      </c>
      <c r="I278" s="128">
        <f>F278*H278</f>
        <v>20.452080000000002</v>
      </c>
      <c r="J278" s="300">
        <v>0</v>
      </c>
      <c r="K278" s="128">
        <f>J278*D278</f>
        <v>0</v>
      </c>
      <c r="L278" s="230">
        <f>G278</f>
        <v>26.84</v>
      </c>
      <c r="M278" s="207">
        <f>L278*2.54</f>
        <v>68.17360000000001</v>
      </c>
      <c r="N278" s="97">
        <f>K278*M278</f>
        <v>0</v>
      </c>
      <c r="O278" s="209">
        <v>-0.5</v>
      </c>
      <c r="P278" s="207">
        <f>O278*2.54</f>
        <v>-1.27</v>
      </c>
      <c r="Q278" s="128">
        <f>F278*P278</f>
        <v>-0.381</v>
      </c>
      <c r="R278" s="207">
        <f>K278*P278</f>
        <v>0</v>
      </c>
      <c r="S278" s="105"/>
      <c r="T278" s="105"/>
      <c r="U278" s="105"/>
      <c r="V278" s="400"/>
      <c r="W278" s="105"/>
      <c r="X278" s="105"/>
      <c r="Y278" s="105"/>
      <c r="Z278" s="105"/>
      <c r="AA278" s="105"/>
    </row>
    <row r="279" spans="1:22" s="8" customFormat="1" ht="18.75" customHeight="1">
      <c r="A279" s="10"/>
      <c r="C279" s="362"/>
      <c r="D279" s="298"/>
      <c r="E279" s="206"/>
      <c r="F279" s="126"/>
      <c r="G279" s="299"/>
      <c r="H279" s="126"/>
      <c r="I279" s="97"/>
      <c r="J279" s="300"/>
      <c r="K279" s="97"/>
      <c r="L279" s="301"/>
      <c r="M279" s="126"/>
      <c r="N279" s="97"/>
      <c r="O279" s="302"/>
      <c r="P279" s="126"/>
      <c r="Q279" s="97"/>
      <c r="R279" s="126"/>
      <c r="V279" s="97"/>
    </row>
    <row r="280" spans="1:22" s="8" customFormat="1" ht="16.5" customHeight="1">
      <c r="A280" s="10">
        <v>4</v>
      </c>
      <c r="B280" s="361" t="s">
        <v>531</v>
      </c>
      <c r="C280" s="398">
        <v>55485</v>
      </c>
      <c r="D280" s="399"/>
      <c r="E280" s="206"/>
      <c r="F280" s="10"/>
      <c r="G280" s="299"/>
      <c r="H280" s="126"/>
      <c r="I280" s="97"/>
      <c r="J280" s="300"/>
      <c r="K280" s="97"/>
      <c r="L280" s="301"/>
      <c r="M280" s="126"/>
      <c r="N280" s="97"/>
      <c r="O280" s="302"/>
      <c r="P280" s="126"/>
      <c r="Q280" s="97"/>
      <c r="R280" s="126"/>
      <c r="V280" s="97"/>
    </row>
    <row r="281" spans="1:22" s="8" customFormat="1" ht="16.5" customHeight="1">
      <c r="A281" s="10"/>
      <c r="B281" s="6" t="s">
        <v>218</v>
      </c>
      <c r="C281" s="126">
        <f>SUM(F283:F287)</f>
        <v>0</v>
      </c>
      <c r="D281" s="196" t="s">
        <v>126</v>
      </c>
      <c r="E281" s="322" t="s">
        <v>312</v>
      </c>
      <c r="F281" s="10"/>
      <c r="G281" s="299"/>
      <c r="H281" s="126"/>
      <c r="I281" s="97"/>
      <c r="J281" s="300"/>
      <c r="K281" s="97"/>
      <c r="L281" s="301"/>
      <c r="M281" s="126"/>
      <c r="N281" s="97"/>
      <c r="O281" s="302"/>
      <c r="P281" s="126"/>
      <c r="Q281" s="97"/>
      <c r="R281" s="126"/>
      <c r="V281" s="97"/>
    </row>
    <row r="282" spans="1:22" s="8" customFormat="1" ht="15.75" customHeight="1">
      <c r="A282" s="10"/>
      <c r="B282" s="6" t="s">
        <v>207</v>
      </c>
      <c r="C282" s="206">
        <v>0</v>
      </c>
      <c r="D282" s="196" t="s">
        <v>126</v>
      </c>
      <c r="E282" s="333">
        <f>C282-C281</f>
        <v>0</v>
      </c>
      <c r="F282" s="126"/>
      <c r="G282" s="299"/>
      <c r="H282" s="126"/>
      <c r="I282" s="97"/>
      <c r="J282" s="300"/>
      <c r="K282" s="97"/>
      <c r="L282" s="301"/>
      <c r="M282" s="126"/>
      <c r="N282" s="97"/>
      <c r="O282" s="302"/>
      <c r="P282" s="126"/>
      <c r="Q282" s="97"/>
      <c r="R282" s="126"/>
      <c r="V282" s="97"/>
    </row>
    <row r="283" spans="1:27" s="401" customFormat="1" ht="16.5" customHeight="1">
      <c r="A283" s="103">
        <v>5</v>
      </c>
      <c r="B283" s="105" t="s">
        <v>532</v>
      </c>
      <c r="C283" s="269" t="s">
        <v>533</v>
      </c>
      <c r="D283" s="200">
        <v>1</v>
      </c>
      <c r="E283" s="206">
        <v>0</v>
      </c>
      <c r="F283" s="207">
        <f>E283*D283</f>
        <v>0</v>
      </c>
      <c r="G283" s="228">
        <v>26.84</v>
      </c>
      <c r="H283" s="207">
        <f>G283*2.54</f>
        <v>68.17360000000001</v>
      </c>
      <c r="I283" s="128">
        <f>F283*H283</f>
        <v>0</v>
      </c>
      <c r="J283" s="300">
        <v>0</v>
      </c>
      <c r="K283" s="128">
        <f>J283*D283</f>
        <v>0</v>
      </c>
      <c r="L283" s="230">
        <f>G283</f>
        <v>26.84</v>
      </c>
      <c r="M283" s="207">
        <f>L283*2.54</f>
        <v>68.17360000000001</v>
      </c>
      <c r="N283" s="97">
        <f>K283*M283</f>
        <v>0</v>
      </c>
      <c r="O283" s="209">
        <v>-0.5</v>
      </c>
      <c r="P283" s="207">
        <f>O283*2.54</f>
        <v>-1.27</v>
      </c>
      <c r="Q283" s="128">
        <f>F283*P283</f>
        <v>0</v>
      </c>
      <c r="R283" s="207">
        <f>K283*P283</f>
        <v>0</v>
      </c>
      <c r="S283" s="105"/>
      <c r="T283" s="105"/>
      <c r="U283" s="105"/>
      <c r="V283" s="400"/>
      <c r="W283" s="105"/>
      <c r="X283" s="105"/>
      <c r="Y283" s="105"/>
      <c r="Z283" s="105"/>
      <c r="AA283" s="105"/>
    </row>
    <row r="284" spans="1:27" s="401" customFormat="1" ht="16.5" customHeight="1">
      <c r="A284" s="103">
        <v>5</v>
      </c>
      <c r="B284" s="105" t="s">
        <v>647</v>
      </c>
      <c r="C284" s="269" t="s">
        <v>534</v>
      </c>
      <c r="D284" s="200">
        <v>1</v>
      </c>
      <c r="E284" s="206">
        <v>0</v>
      </c>
      <c r="F284" s="207">
        <f>E284*D284</f>
        <v>0</v>
      </c>
      <c r="G284" s="228">
        <v>26.84</v>
      </c>
      <c r="H284" s="207">
        <f>G284*2.54</f>
        <v>68.17360000000001</v>
      </c>
      <c r="I284" s="128">
        <f>F284*H284</f>
        <v>0</v>
      </c>
      <c r="J284" s="300">
        <v>0</v>
      </c>
      <c r="K284" s="128">
        <f>J284*D284</f>
        <v>0</v>
      </c>
      <c r="L284" s="230">
        <f>G284</f>
        <v>26.84</v>
      </c>
      <c r="M284" s="207">
        <f>L284*2.54</f>
        <v>68.17360000000001</v>
      </c>
      <c r="N284" s="97">
        <f>K284*M284</f>
        <v>0</v>
      </c>
      <c r="O284" s="209">
        <v>-0.5</v>
      </c>
      <c r="P284" s="207">
        <f>O284*2.54</f>
        <v>-1.27</v>
      </c>
      <c r="Q284" s="128">
        <f>F284*P284</f>
        <v>0</v>
      </c>
      <c r="R284" s="207">
        <f>K284*P284</f>
        <v>0</v>
      </c>
      <c r="S284" s="105"/>
      <c r="T284" s="105"/>
      <c r="U284" s="105"/>
      <c r="V284" s="400"/>
      <c r="W284" s="105"/>
      <c r="X284" s="105"/>
      <c r="Y284" s="105"/>
      <c r="Z284" s="105"/>
      <c r="AA284" s="105"/>
    </row>
    <row r="285" spans="1:27" s="401" customFormat="1" ht="16.5" customHeight="1">
      <c r="A285" s="103">
        <v>5</v>
      </c>
      <c r="B285" s="105" t="s">
        <v>535</v>
      </c>
      <c r="C285" s="269" t="s">
        <v>536</v>
      </c>
      <c r="D285" s="200">
        <v>1</v>
      </c>
      <c r="E285" s="206">
        <v>0</v>
      </c>
      <c r="F285" s="207">
        <f>E285*D285</f>
        <v>0</v>
      </c>
      <c r="G285" s="228">
        <v>26.84</v>
      </c>
      <c r="H285" s="207">
        <f>G285*2.54</f>
        <v>68.17360000000001</v>
      </c>
      <c r="I285" s="128">
        <f>F285*H285</f>
        <v>0</v>
      </c>
      <c r="J285" s="300">
        <v>0</v>
      </c>
      <c r="K285" s="128">
        <f>J285*D285</f>
        <v>0</v>
      </c>
      <c r="L285" s="230">
        <f>G285</f>
        <v>26.84</v>
      </c>
      <c r="M285" s="207">
        <f>L285*2.54</f>
        <v>68.17360000000001</v>
      </c>
      <c r="N285" s="97">
        <f>K285*M285</f>
        <v>0</v>
      </c>
      <c r="O285" s="209">
        <v>-0.5</v>
      </c>
      <c r="P285" s="207">
        <f>O285*2.54</f>
        <v>-1.27</v>
      </c>
      <c r="Q285" s="128">
        <f>F285*P285</f>
        <v>0</v>
      </c>
      <c r="R285" s="207">
        <f>K285*P285</f>
        <v>0</v>
      </c>
      <c r="S285" s="105"/>
      <c r="T285" s="105"/>
      <c r="U285" s="402"/>
      <c r="V285" s="400"/>
      <c r="W285" s="105"/>
      <c r="X285" s="105"/>
      <c r="Y285" s="105"/>
      <c r="Z285" s="105"/>
      <c r="AA285" s="105"/>
    </row>
    <row r="286" spans="1:27" s="401" customFormat="1" ht="16.5" customHeight="1">
      <c r="A286" s="103">
        <v>5</v>
      </c>
      <c r="B286" s="105" t="s">
        <v>537</v>
      </c>
      <c r="C286" s="269" t="s">
        <v>509</v>
      </c>
      <c r="D286" s="200">
        <v>1</v>
      </c>
      <c r="E286" s="206">
        <v>0</v>
      </c>
      <c r="F286" s="207">
        <f>E286*D286</f>
        <v>0</v>
      </c>
      <c r="G286" s="228">
        <v>26.84</v>
      </c>
      <c r="H286" s="207">
        <f>G286*2.54</f>
        <v>68.17360000000001</v>
      </c>
      <c r="I286" s="128">
        <f>F286*H286</f>
        <v>0</v>
      </c>
      <c r="J286" s="300">
        <v>0</v>
      </c>
      <c r="K286" s="128">
        <f>J286*D286</f>
        <v>0</v>
      </c>
      <c r="L286" s="230">
        <f>G286</f>
        <v>26.84</v>
      </c>
      <c r="M286" s="207">
        <f>L286*2.54</f>
        <v>68.17360000000001</v>
      </c>
      <c r="N286" s="97">
        <f>K286*M286</f>
        <v>0</v>
      </c>
      <c r="O286" s="209">
        <v>-0.5</v>
      </c>
      <c r="P286" s="207">
        <f>O286*2.54</f>
        <v>-1.27</v>
      </c>
      <c r="Q286" s="128">
        <f>F286*P286</f>
        <v>0</v>
      </c>
      <c r="R286" s="207">
        <f>K286*P286</f>
        <v>0</v>
      </c>
      <c r="S286" s="105"/>
      <c r="T286" s="105"/>
      <c r="U286" s="105"/>
      <c r="V286" s="400"/>
      <c r="W286" s="105"/>
      <c r="X286" s="105"/>
      <c r="Y286" s="105"/>
      <c r="Z286" s="105"/>
      <c r="AA286" s="105"/>
    </row>
    <row r="287" spans="1:27" s="401" customFormat="1" ht="16.5" customHeight="1">
      <c r="A287" s="103">
        <v>5</v>
      </c>
      <c r="B287" s="105" t="s">
        <v>529</v>
      </c>
      <c r="C287" s="269" t="s">
        <v>530</v>
      </c>
      <c r="D287" s="200">
        <v>1</v>
      </c>
      <c r="E287" s="206">
        <v>0</v>
      </c>
      <c r="F287" s="207">
        <f>E287*D287</f>
        <v>0</v>
      </c>
      <c r="G287" s="228">
        <v>26.84</v>
      </c>
      <c r="H287" s="207">
        <f>G287*2.54</f>
        <v>68.17360000000001</v>
      </c>
      <c r="I287" s="128">
        <f>F287*H287</f>
        <v>0</v>
      </c>
      <c r="J287" s="300">
        <v>0</v>
      </c>
      <c r="K287" s="128">
        <f>J287*D287</f>
        <v>0</v>
      </c>
      <c r="L287" s="230">
        <f>G287</f>
        <v>26.84</v>
      </c>
      <c r="M287" s="207">
        <f>L287*2.54</f>
        <v>68.17360000000001</v>
      </c>
      <c r="N287" s="97">
        <f>K287*M287</f>
        <v>0</v>
      </c>
      <c r="O287" s="209">
        <v>-0.5</v>
      </c>
      <c r="P287" s="207">
        <f>O287*2.54</f>
        <v>-1.27</v>
      </c>
      <c r="Q287" s="128">
        <f>F287*P287</f>
        <v>0</v>
      </c>
      <c r="R287" s="207">
        <f>K287*P287</f>
        <v>0</v>
      </c>
      <c r="S287" s="105"/>
      <c r="T287" s="105"/>
      <c r="U287" s="105"/>
      <c r="V287" s="400"/>
      <c r="W287" s="105"/>
      <c r="X287" s="105"/>
      <c r="Y287" s="105"/>
      <c r="Z287" s="105"/>
      <c r="AA287" s="105"/>
    </row>
    <row r="288" spans="1:22" s="8" customFormat="1" ht="16.5" customHeight="1">
      <c r="A288" s="10"/>
      <c r="B288" s="266"/>
      <c r="C288" s="10"/>
      <c r="D288" s="298"/>
      <c r="E288" s="206"/>
      <c r="F288" s="126"/>
      <c r="G288" s="299"/>
      <c r="H288" s="126"/>
      <c r="I288" s="97"/>
      <c r="J288" s="300"/>
      <c r="K288" s="97"/>
      <c r="L288" s="301"/>
      <c r="M288" s="126"/>
      <c r="N288" s="97"/>
      <c r="O288" s="302"/>
      <c r="P288" s="126"/>
      <c r="Q288" s="97"/>
      <c r="R288" s="126"/>
      <c r="V288" s="97"/>
    </row>
    <row r="289" spans="1:22" s="8" customFormat="1" ht="16.5" customHeight="1">
      <c r="A289" s="10">
        <v>3</v>
      </c>
      <c r="B289" s="385" t="s">
        <v>538</v>
      </c>
      <c r="C289" s="403">
        <v>55531</v>
      </c>
      <c r="D289" s="196"/>
      <c r="E289" s="206"/>
      <c r="F289" s="117"/>
      <c r="G289" s="382"/>
      <c r="H289" s="117"/>
      <c r="I289" s="385"/>
      <c r="J289" s="288"/>
      <c r="K289" s="383"/>
      <c r="L289" s="384"/>
      <c r="M289" s="291"/>
      <c r="N289" s="204"/>
      <c r="O289" s="290"/>
      <c r="P289" s="291"/>
      <c r="Q289" s="204"/>
      <c r="R289" s="193"/>
      <c r="V289" s="97"/>
    </row>
    <row r="290" spans="1:22" s="8" customFormat="1" ht="16.5" customHeight="1">
      <c r="A290" s="10"/>
      <c r="B290" s="6" t="s">
        <v>218</v>
      </c>
      <c r="C290" s="126">
        <f>SUM(F292:F339)</f>
        <v>2937.4</v>
      </c>
      <c r="D290" s="196" t="s">
        <v>126</v>
      </c>
      <c r="E290" s="322" t="s">
        <v>312</v>
      </c>
      <c r="F290" s="117"/>
      <c r="G290" s="382"/>
      <c r="H290" s="117"/>
      <c r="I290" s="385"/>
      <c r="J290" s="288"/>
      <c r="K290" s="383"/>
      <c r="L290" s="384"/>
      <c r="M290" s="291"/>
      <c r="N290" s="204"/>
      <c r="O290" s="290"/>
      <c r="P290" s="291"/>
      <c r="Q290" s="204"/>
      <c r="R290" s="193"/>
      <c r="V290" s="97"/>
    </row>
    <row r="291" spans="1:22" s="8" customFormat="1" ht="16.5" customHeight="1">
      <c r="A291" s="10"/>
      <c r="B291" s="6" t="s">
        <v>207</v>
      </c>
      <c r="C291" s="206">
        <v>2938.2</v>
      </c>
      <c r="D291" s="196" t="s">
        <v>126</v>
      </c>
      <c r="E291" s="333">
        <f>C291-C290</f>
        <v>0.7999999999997272</v>
      </c>
      <c r="F291" s="117"/>
      <c r="G291" s="382"/>
      <c r="H291" s="117"/>
      <c r="I291" s="385"/>
      <c r="J291" s="288"/>
      <c r="K291" s="383"/>
      <c r="L291" s="384"/>
      <c r="M291" s="291"/>
      <c r="N291" s="204"/>
      <c r="O291" s="290"/>
      <c r="P291" s="291"/>
      <c r="Q291" s="204"/>
      <c r="R291" s="193"/>
      <c r="V291" s="97"/>
    </row>
    <row r="292" spans="1:22" s="8" customFormat="1" ht="16.5" customHeight="1">
      <c r="A292" s="10">
        <v>4</v>
      </c>
      <c r="B292" s="8" t="s">
        <v>539</v>
      </c>
      <c r="C292" s="362">
        <v>49822</v>
      </c>
      <c r="D292" s="298">
        <v>1</v>
      </c>
      <c r="E292" s="206">
        <v>30.6</v>
      </c>
      <c r="F292" s="126">
        <f aca="true" t="shared" si="83" ref="F292:F339">E292*D292</f>
        <v>30.6</v>
      </c>
      <c r="G292" s="299">
        <v>28.58</v>
      </c>
      <c r="H292" s="126">
        <f aca="true" t="shared" si="84" ref="H292:H339">G292*2.54</f>
        <v>72.5932</v>
      </c>
      <c r="I292" s="97">
        <f aca="true" t="shared" si="85" ref="I292:I339">F292*H292</f>
        <v>2221.35192</v>
      </c>
      <c r="J292" s="300">
        <v>0</v>
      </c>
      <c r="K292" s="97">
        <f aca="true" t="shared" si="86" ref="K292:K339">J292*D292</f>
        <v>0</v>
      </c>
      <c r="L292" s="301">
        <f aca="true" t="shared" si="87" ref="L292:L339">G292</f>
        <v>28.58</v>
      </c>
      <c r="M292" s="126">
        <f aca="true" t="shared" si="88" ref="M292:M339">L292*2.54</f>
        <v>72.5932</v>
      </c>
      <c r="N292" s="97">
        <f aca="true" t="shared" si="89" ref="N292:N333">K292*M292</f>
        <v>0</v>
      </c>
      <c r="O292" s="302">
        <v>-2.18</v>
      </c>
      <c r="P292" s="126">
        <f aca="true" t="shared" si="90" ref="P292:P339">O292*2.54</f>
        <v>-5.5372</v>
      </c>
      <c r="Q292" s="97">
        <f aca="true" t="shared" si="91" ref="Q292:Q339">F292*P292</f>
        <v>-169.43832</v>
      </c>
      <c r="R292" s="126">
        <f aca="true" t="shared" si="92" ref="R292:R339">K292*P292</f>
        <v>0</v>
      </c>
      <c r="V292" s="97"/>
    </row>
    <row r="293" spans="1:22" s="8" customFormat="1" ht="16.5" customHeight="1">
      <c r="A293" s="10">
        <v>4</v>
      </c>
      <c r="B293" s="8" t="s">
        <v>540</v>
      </c>
      <c r="C293" s="362">
        <v>49822</v>
      </c>
      <c r="D293" s="298">
        <v>1</v>
      </c>
      <c r="E293" s="206">
        <v>30.7</v>
      </c>
      <c r="F293" s="126">
        <f t="shared" si="83"/>
        <v>30.7</v>
      </c>
      <c r="G293" s="299">
        <v>41.72</v>
      </c>
      <c r="H293" s="126">
        <f t="shared" si="84"/>
        <v>105.9688</v>
      </c>
      <c r="I293" s="97">
        <f t="shared" si="85"/>
        <v>3253.24216</v>
      </c>
      <c r="J293" s="300">
        <v>0</v>
      </c>
      <c r="K293" s="97">
        <f t="shared" si="86"/>
        <v>0</v>
      </c>
      <c r="L293" s="301">
        <f t="shared" si="87"/>
        <v>41.72</v>
      </c>
      <c r="M293" s="126">
        <f t="shared" si="88"/>
        <v>105.9688</v>
      </c>
      <c r="N293" s="97">
        <f t="shared" si="89"/>
        <v>0</v>
      </c>
      <c r="O293" s="302">
        <v>-2.18</v>
      </c>
      <c r="P293" s="126">
        <f t="shared" si="90"/>
        <v>-5.5372</v>
      </c>
      <c r="Q293" s="97">
        <f t="shared" si="91"/>
        <v>-169.99204</v>
      </c>
      <c r="R293" s="126">
        <f t="shared" si="92"/>
        <v>0</v>
      </c>
      <c r="V293" s="97"/>
    </row>
    <row r="294" spans="1:22" s="8" customFormat="1" ht="16.5" customHeight="1">
      <c r="A294" s="404">
        <v>4</v>
      </c>
      <c r="B294" s="387" t="s">
        <v>541</v>
      </c>
      <c r="C294" s="388">
        <v>55532</v>
      </c>
      <c r="D294" s="389">
        <v>1</v>
      </c>
      <c r="E294" s="390">
        <v>123</v>
      </c>
      <c r="F294" s="391">
        <f t="shared" si="83"/>
        <v>123</v>
      </c>
      <c r="G294" s="392">
        <f>32.32+stroke_2*6.031</f>
        <v>36.84652398399754</v>
      </c>
      <c r="H294" s="391">
        <f t="shared" si="84"/>
        <v>93.59017091935375</v>
      </c>
      <c r="I294" s="393">
        <f t="shared" si="85"/>
        <v>11511.591023080511</v>
      </c>
      <c r="J294" s="394">
        <v>0</v>
      </c>
      <c r="K294" s="393">
        <f t="shared" si="86"/>
        <v>0</v>
      </c>
      <c r="L294" s="395">
        <f t="shared" si="87"/>
        <v>36.84652398399754</v>
      </c>
      <c r="M294" s="391">
        <f t="shared" si="88"/>
        <v>93.59017091935375</v>
      </c>
      <c r="N294" s="393">
        <f t="shared" si="89"/>
        <v>0</v>
      </c>
      <c r="O294" s="396">
        <v>-1.75</v>
      </c>
      <c r="P294" s="391">
        <f t="shared" si="90"/>
        <v>-4.445</v>
      </c>
      <c r="Q294" s="393">
        <f t="shared" si="91"/>
        <v>-546.735</v>
      </c>
      <c r="R294" s="391">
        <f t="shared" si="92"/>
        <v>0</v>
      </c>
      <c r="V294" s="97"/>
    </row>
    <row r="295" spans="1:22" s="8" customFormat="1" ht="16.5" customHeight="1">
      <c r="A295" s="10">
        <v>4</v>
      </c>
      <c r="B295" s="8" t="s">
        <v>542</v>
      </c>
      <c r="C295" s="386">
        <v>52440</v>
      </c>
      <c r="D295" s="298">
        <v>1</v>
      </c>
      <c r="E295" s="206">
        <v>431.5</v>
      </c>
      <c r="F295" s="126">
        <f t="shared" si="83"/>
        <v>431.5</v>
      </c>
      <c r="G295" s="299">
        <v>35.2</v>
      </c>
      <c r="H295" s="126">
        <f t="shared" si="84"/>
        <v>89.40800000000002</v>
      </c>
      <c r="I295" s="97">
        <f t="shared" si="85"/>
        <v>38579.552</v>
      </c>
      <c r="J295" s="300">
        <v>0</v>
      </c>
      <c r="K295" s="97">
        <f t="shared" si="86"/>
        <v>0</v>
      </c>
      <c r="L295" s="301">
        <f t="shared" si="87"/>
        <v>35.2</v>
      </c>
      <c r="M295" s="126">
        <f t="shared" si="88"/>
        <v>89.40800000000002</v>
      </c>
      <c r="N295" s="97">
        <f t="shared" si="89"/>
        <v>0</v>
      </c>
      <c r="O295" s="302">
        <v>-2.18</v>
      </c>
      <c r="P295" s="126">
        <f t="shared" si="90"/>
        <v>-5.5372</v>
      </c>
      <c r="Q295" s="97">
        <f t="shared" si="91"/>
        <v>-2389.3018</v>
      </c>
      <c r="R295" s="126">
        <f t="shared" si="92"/>
        <v>0</v>
      </c>
      <c r="V295" s="97"/>
    </row>
    <row r="296" spans="1:22" s="8" customFormat="1" ht="16.5" customHeight="1">
      <c r="A296" s="10">
        <v>4</v>
      </c>
      <c r="B296" s="8" t="s">
        <v>543</v>
      </c>
      <c r="C296" s="362" t="s">
        <v>544</v>
      </c>
      <c r="D296" s="298">
        <v>1</v>
      </c>
      <c r="E296" s="206">
        <v>8.6</v>
      </c>
      <c r="F296" s="126">
        <f t="shared" si="83"/>
        <v>8.6</v>
      </c>
      <c r="G296" s="299">
        <v>28.58</v>
      </c>
      <c r="H296" s="126">
        <f t="shared" si="84"/>
        <v>72.5932</v>
      </c>
      <c r="I296" s="97">
        <f t="shared" si="85"/>
        <v>624.30152</v>
      </c>
      <c r="J296" s="300">
        <v>0</v>
      </c>
      <c r="K296" s="97">
        <f t="shared" si="86"/>
        <v>0</v>
      </c>
      <c r="L296" s="301">
        <f t="shared" si="87"/>
        <v>28.58</v>
      </c>
      <c r="M296" s="126">
        <f t="shared" si="88"/>
        <v>72.5932</v>
      </c>
      <c r="N296" s="97">
        <f t="shared" si="89"/>
        <v>0</v>
      </c>
      <c r="O296" s="302">
        <v>-2.18</v>
      </c>
      <c r="P296" s="126">
        <f t="shared" si="90"/>
        <v>-5.5372</v>
      </c>
      <c r="Q296" s="97">
        <f t="shared" si="91"/>
        <v>-47.61992</v>
      </c>
      <c r="R296" s="126">
        <f t="shared" si="92"/>
        <v>0</v>
      </c>
      <c r="V296" s="97"/>
    </row>
    <row r="297" spans="1:22" s="8" customFormat="1" ht="16.5" customHeight="1">
      <c r="A297" s="10">
        <v>4</v>
      </c>
      <c r="B297" s="8" t="s">
        <v>545</v>
      </c>
      <c r="C297" s="362" t="s">
        <v>544</v>
      </c>
      <c r="D297" s="298">
        <v>1</v>
      </c>
      <c r="E297" s="206">
        <v>8.6</v>
      </c>
      <c r="F297" s="126">
        <f t="shared" si="83"/>
        <v>8.6</v>
      </c>
      <c r="G297" s="299">
        <v>41.72</v>
      </c>
      <c r="H297" s="126">
        <f t="shared" si="84"/>
        <v>105.9688</v>
      </c>
      <c r="I297" s="97">
        <f t="shared" si="85"/>
        <v>911.33168</v>
      </c>
      <c r="J297" s="300">
        <v>0</v>
      </c>
      <c r="K297" s="97">
        <f t="shared" si="86"/>
        <v>0</v>
      </c>
      <c r="L297" s="301">
        <f t="shared" si="87"/>
        <v>41.72</v>
      </c>
      <c r="M297" s="126">
        <f t="shared" si="88"/>
        <v>105.9688</v>
      </c>
      <c r="N297" s="97">
        <f t="shared" si="89"/>
        <v>0</v>
      </c>
      <c r="O297" s="302">
        <v>-2.18</v>
      </c>
      <c r="P297" s="126">
        <f t="shared" si="90"/>
        <v>-5.5372</v>
      </c>
      <c r="Q297" s="97">
        <f t="shared" si="91"/>
        <v>-47.61992</v>
      </c>
      <c r="R297" s="126">
        <f t="shared" si="92"/>
        <v>0</v>
      </c>
      <c r="V297" s="97"/>
    </row>
    <row r="298" spans="1:22" s="105" customFormat="1" ht="16.5" customHeight="1">
      <c r="A298" s="404">
        <v>4</v>
      </c>
      <c r="B298" s="387" t="s">
        <v>546</v>
      </c>
      <c r="C298" s="397">
        <v>52492</v>
      </c>
      <c r="D298" s="389">
        <v>1</v>
      </c>
      <c r="E298" s="390">
        <v>168.8</v>
      </c>
      <c r="F298" s="391">
        <f t="shared" si="83"/>
        <v>168.8</v>
      </c>
      <c r="G298" s="392">
        <f>32.32+stroke_2*6.031</f>
        <v>36.84652398399754</v>
      </c>
      <c r="H298" s="391">
        <f t="shared" si="84"/>
        <v>93.59017091935375</v>
      </c>
      <c r="I298" s="393">
        <f t="shared" si="85"/>
        <v>15798.020851186915</v>
      </c>
      <c r="J298" s="394">
        <v>0</v>
      </c>
      <c r="K298" s="393">
        <f t="shared" si="86"/>
        <v>0</v>
      </c>
      <c r="L298" s="395">
        <f t="shared" si="87"/>
        <v>36.84652398399754</v>
      </c>
      <c r="M298" s="391">
        <f t="shared" si="88"/>
        <v>93.59017091935375</v>
      </c>
      <c r="N298" s="393">
        <f t="shared" si="89"/>
        <v>0</v>
      </c>
      <c r="O298" s="396">
        <v>-2.14</v>
      </c>
      <c r="P298" s="391">
        <f t="shared" si="90"/>
        <v>-5.4356</v>
      </c>
      <c r="Q298" s="393">
        <f t="shared" si="91"/>
        <v>-917.5292800000001</v>
      </c>
      <c r="R298" s="391">
        <f t="shared" si="92"/>
        <v>0</v>
      </c>
      <c r="V298" s="128"/>
    </row>
    <row r="299" spans="1:22" s="8" customFormat="1" ht="16.5" customHeight="1">
      <c r="A299" s="404">
        <v>4</v>
      </c>
      <c r="B299" s="387" t="s">
        <v>547</v>
      </c>
      <c r="C299" s="388">
        <v>55202</v>
      </c>
      <c r="D299" s="389">
        <v>1</v>
      </c>
      <c r="E299" s="390">
        <v>5.9</v>
      </c>
      <c r="F299" s="391">
        <f t="shared" si="83"/>
        <v>5.9</v>
      </c>
      <c r="G299" s="392">
        <f>32.32+stroke_2*6.031</f>
        <v>36.84652398399754</v>
      </c>
      <c r="H299" s="391">
        <f t="shared" si="84"/>
        <v>93.59017091935375</v>
      </c>
      <c r="I299" s="393">
        <f t="shared" si="85"/>
        <v>552.1820084241872</v>
      </c>
      <c r="J299" s="394">
        <v>0</v>
      </c>
      <c r="K299" s="393">
        <f t="shared" si="86"/>
        <v>0</v>
      </c>
      <c r="L299" s="395">
        <f t="shared" si="87"/>
        <v>36.84652398399754</v>
      </c>
      <c r="M299" s="391">
        <f t="shared" si="88"/>
        <v>93.59017091935375</v>
      </c>
      <c r="N299" s="393">
        <f t="shared" si="89"/>
        <v>0</v>
      </c>
      <c r="O299" s="396">
        <v>-1.75</v>
      </c>
      <c r="P299" s="391">
        <f t="shared" si="90"/>
        <v>-4.445</v>
      </c>
      <c r="Q299" s="393">
        <f t="shared" si="91"/>
        <v>-26.225500000000004</v>
      </c>
      <c r="R299" s="391">
        <f t="shared" si="92"/>
        <v>0</v>
      </c>
      <c r="V299" s="97"/>
    </row>
    <row r="300" spans="1:22" s="8" customFormat="1" ht="16.5" customHeight="1">
      <c r="A300" s="404">
        <v>4</v>
      </c>
      <c r="B300" s="387" t="s">
        <v>548</v>
      </c>
      <c r="C300" s="397">
        <v>49869</v>
      </c>
      <c r="D300" s="389">
        <v>1</v>
      </c>
      <c r="E300" s="390">
        <v>111</v>
      </c>
      <c r="F300" s="391">
        <f t="shared" si="83"/>
        <v>111</v>
      </c>
      <c r="G300" s="392">
        <f>32.32+stroke_2*6.031-3.938</f>
        <v>32.90852398399754</v>
      </c>
      <c r="H300" s="391">
        <f t="shared" si="84"/>
        <v>83.58765091935375</v>
      </c>
      <c r="I300" s="393">
        <f t="shared" si="85"/>
        <v>9278.229252048266</v>
      </c>
      <c r="J300" s="394">
        <v>0</v>
      </c>
      <c r="K300" s="393">
        <f t="shared" si="86"/>
        <v>0</v>
      </c>
      <c r="L300" s="395">
        <f t="shared" si="87"/>
        <v>32.90852398399754</v>
      </c>
      <c r="M300" s="391">
        <f t="shared" si="88"/>
        <v>83.58765091935375</v>
      </c>
      <c r="N300" s="393">
        <f t="shared" si="89"/>
        <v>0</v>
      </c>
      <c r="O300" s="396">
        <v>-0.33</v>
      </c>
      <c r="P300" s="391">
        <f t="shared" si="90"/>
        <v>-0.8382000000000001</v>
      </c>
      <c r="Q300" s="393">
        <f t="shared" si="91"/>
        <v>-93.04020000000001</v>
      </c>
      <c r="R300" s="391">
        <f t="shared" si="92"/>
        <v>0</v>
      </c>
      <c r="V300" s="97"/>
    </row>
    <row r="301" spans="1:22" s="8" customFormat="1" ht="16.5" customHeight="1">
      <c r="A301" s="404">
        <v>4</v>
      </c>
      <c r="B301" s="387" t="s">
        <v>549</v>
      </c>
      <c r="C301" s="397">
        <v>49869</v>
      </c>
      <c r="D301" s="389">
        <v>1</v>
      </c>
      <c r="E301" s="390">
        <v>110.4</v>
      </c>
      <c r="F301" s="391">
        <f t="shared" si="83"/>
        <v>110.4</v>
      </c>
      <c r="G301" s="392">
        <f>32.32+stroke_2*6.031+3.938</f>
        <v>40.784523983997545</v>
      </c>
      <c r="H301" s="391">
        <f t="shared" si="84"/>
        <v>103.59269091935377</v>
      </c>
      <c r="I301" s="393">
        <f t="shared" si="85"/>
        <v>11436.633077496657</v>
      </c>
      <c r="J301" s="394">
        <v>0</v>
      </c>
      <c r="K301" s="393">
        <f t="shared" si="86"/>
        <v>0</v>
      </c>
      <c r="L301" s="395">
        <f t="shared" si="87"/>
        <v>40.784523983997545</v>
      </c>
      <c r="M301" s="391">
        <f t="shared" si="88"/>
        <v>103.59269091935377</v>
      </c>
      <c r="N301" s="393">
        <f t="shared" si="89"/>
        <v>0</v>
      </c>
      <c r="O301" s="396">
        <v>-0.33</v>
      </c>
      <c r="P301" s="391">
        <f t="shared" si="90"/>
        <v>-0.8382000000000001</v>
      </c>
      <c r="Q301" s="393">
        <f t="shared" si="91"/>
        <v>-92.53728000000001</v>
      </c>
      <c r="R301" s="391">
        <f t="shared" si="92"/>
        <v>0</v>
      </c>
      <c r="V301" s="97"/>
    </row>
    <row r="302" spans="1:22" s="8" customFormat="1" ht="16.5" customHeight="1">
      <c r="A302" s="404">
        <v>4</v>
      </c>
      <c r="B302" s="387" t="s">
        <v>550</v>
      </c>
      <c r="C302" s="397" t="s">
        <v>551</v>
      </c>
      <c r="D302" s="389">
        <v>1</v>
      </c>
      <c r="E302" s="390">
        <v>4</v>
      </c>
      <c r="F302" s="391">
        <f t="shared" si="83"/>
        <v>4</v>
      </c>
      <c r="G302" s="392">
        <f>32.32+stroke_2*6.031</f>
        <v>36.84652398399754</v>
      </c>
      <c r="H302" s="391">
        <f t="shared" si="84"/>
        <v>93.59017091935375</v>
      </c>
      <c r="I302" s="393">
        <f t="shared" si="85"/>
        <v>374.360683677415</v>
      </c>
      <c r="J302" s="394">
        <v>0</v>
      </c>
      <c r="K302" s="393">
        <f t="shared" si="86"/>
        <v>0</v>
      </c>
      <c r="L302" s="395">
        <f t="shared" si="87"/>
        <v>36.84652398399754</v>
      </c>
      <c r="M302" s="391">
        <f t="shared" si="88"/>
        <v>93.59017091935375</v>
      </c>
      <c r="N302" s="393">
        <f t="shared" si="89"/>
        <v>0</v>
      </c>
      <c r="O302" s="396">
        <v>-2.14</v>
      </c>
      <c r="P302" s="391">
        <f t="shared" si="90"/>
        <v>-5.4356</v>
      </c>
      <c r="Q302" s="393">
        <f t="shared" si="91"/>
        <v>-21.7424</v>
      </c>
      <c r="R302" s="391">
        <f t="shared" si="92"/>
        <v>0</v>
      </c>
      <c r="V302" s="97"/>
    </row>
    <row r="303" spans="1:22" s="8" customFormat="1" ht="16.5" customHeight="1">
      <c r="A303" s="10">
        <v>4</v>
      </c>
      <c r="B303" s="8" t="s">
        <v>552</v>
      </c>
      <c r="C303" s="362">
        <v>49824</v>
      </c>
      <c r="D303" s="298">
        <v>1</v>
      </c>
      <c r="E303" s="206">
        <v>280.1</v>
      </c>
      <c r="F303" s="126">
        <f t="shared" si="83"/>
        <v>280.1</v>
      </c>
      <c r="G303" s="299">
        <v>27.63</v>
      </c>
      <c r="H303" s="126">
        <f t="shared" si="84"/>
        <v>70.1802</v>
      </c>
      <c r="I303" s="97">
        <f t="shared" si="85"/>
        <v>19657.47402</v>
      </c>
      <c r="J303" s="300">
        <v>0</v>
      </c>
      <c r="K303" s="97">
        <f t="shared" si="86"/>
        <v>0</v>
      </c>
      <c r="L303" s="301">
        <f t="shared" si="87"/>
        <v>27.63</v>
      </c>
      <c r="M303" s="126">
        <f t="shared" si="88"/>
        <v>70.1802</v>
      </c>
      <c r="N303" s="97">
        <f t="shared" si="89"/>
        <v>0</v>
      </c>
      <c r="O303" s="302">
        <v>0</v>
      </c>
      <c r="P303" s="126">
        <f t="shared" si="90"/>
        <v>0</v>
      </c>
      <c r="Q303" s="97">
        <f t="shared" si="91"/>
        <v>0</v>
      </c>
      <c r="R303" s="126">
        <f t="shared" si="92"/>
        <v>0</v>
      </c>
      <c r="V303" s="97"/>
    </row>
    <row r="304" spans="1:22" s="8" customFormat="1" ht="16.5" customHeight="1">
      <c r="A304" s="10">
        <v>4</v>
      </c>
      <c r="B304" s="8" t="s">
        <v>553</v>
      </c>
      <c r="C304" s="362" t="s">
        <v>554</v>
      </c>
      <c r="D304" s="298">
        <v>1</v>
      </c>
      <c r="E304" s="206">
        <v>11.5</v>
      </c>
      <c r="F304" s="126">
        <f t="shared" si="83"/>
        <v>11.5</v>
      </c>
      <c r="G304" s="299">
        <v>27.75</v>
      </c>
      <c r="H304" s="126">
        <f t="shared" si="84"/>
        <v>70.485</v>
      </c>
      <c r="I304" s="97">
        <f t="shared" si="85"/>
        <v>810.5775</v>
      </c>
      <c r="J304" s="300">
        <v>0</v>
      </c>
      <c r="K304" s="97">
        <f t="shared" si="86"/>
        <v>0</v>
      </c>
      <c r="L304" s="301">
        <f t="shared" si="87"/>
        <v>27.75</v>
      </c>
      <c r="M304" s="126">
        <f t="shared" si="88"/>
        <v>70.485</v>
      </c>
      <c r="N304" s="97">
        <f t="shared" si="89"/>
        <v>0</v>
      </c>
      <c r="O304" s="302">
        <v>3.25</v>
      </c>
      <c r="P304" s="126">
        <f t="shared" si="90"/>
        <v>8.255</v>
      </c>
      <c r="Q304" s="97">
        <f t="shared" si="91"/>
        <v>94.9325</v>
      </c>
      <c r="R304" s="126">
        <f t="shared" si="92"/>
        <v>0</v>
      </c>
      <c r="V304" s="97"/>
    </row>
    <row r="305" spans="1:22" s="8" customFormat="1" ht="16.5" customHeight="1">
      <c r="A305" s="10">
        <v>4</v>
      </c>
      <c r="B305" s="8" t="s">
        <v>555</v>
      </c>
      <c r="C305" s="362" t="s">
        <v>556</v>
      </c>
      <c r="D305" s="298">
        <v>1</v>
      </c>
      <c r="E305" s="206">
        <v>1.2</v>
      </c>
      <c r="F305" s="126">
        <f t="shared" si="83"/>
        <v>1.2</v>
      </c>
      <c r="G305" s="299">
        <v>27.75</v>
      </c>
      <c r="H305" s="126">
        <f t="shared" si="84"/>
        <v>70.485</v>
      </c>
      <c r="I305" s="97">
        <f t="shared" si="85"/>
        <v>84.582</v>
      </c>
      <c r="J305" s="300">
        <v>0</v>
      </c>
      <c r="K305" s="97">
        <f t="shared" si="86"/>
        <v>0</v>
      </c>
      <c r="L305" s="301">
        <f t="shared" si="87"/>
        <v>27.75</v>
      </c>
      <c r="M305" s="126">
        <f t="shared" si="88"/>
        <v>70.485</v>
      </c>
      <c r="N305" s="97">
        <f t="shared" si="89"/>
        <v>0</v>
      </c>
      <c r="O305" s="302">
        <v>3.25</v>
      </c>
      <c r="P305" s="126">
        <f t="shared" si="90"/>
        <v>8.255</v>
      </c>
      <c r="Q305" s="97">
        <f t="shared" si="91"/>
        <v>9.906</v>
      </c>
      <c r="R305" s="126">
        <f t="shared" si="92"/>
        <v>0</v>
      </c>
      <c r="V305" s="97"/>
    </row>
    <row r="306" spans="1:22" s="8" customFormat="1" ht="16.5" customHeight="1">
      <c r="A306" s="10">
        <v>4</v>
      </c>
      <c r="B306" s="8" t="s">
        <v>557</v>
      </c>
      <c r="C306" s="362">
        <v>49821</v>
      </c>
      <c r="D306" s="298">
        <v>1</v>
      </c>
      <c r="E306" s="206">
        <v>96.3</v>
      </c>
      <c r="F306" s="126">
        <f t="shared" si="83"/>
        <v>96.3</v>
      </c>
      <c r="G306" s="299">
        <v>42.9</v>
      </c>
      <c r="H306" s="126">
        <f t="shared" si="84"/>
        <v>108.966</v>
      </c>
      <c r="I306" s="97">
        <f t="shared" si="85"/>
        <v>10493.425799999999</v>
      </c>
      <c r="J306" s="300">
        <v>0</v>
      </c>
      <c r="K306" s="97">
        <f t="shared" si="86"/>
        <v>0</v>
      </c>
      <c r="L306" s="301">
        <f t="shared" si="87"/>
        <v>42.9</v>
      </c>
      <c r="M306" s="126">
        <f t="shared" si="88"/>
        <v>108.966</v>
      </c>
      <c r="N306" s="97">
        <f t="shared" si="89"/>
        <v>0</v>
      </c>
      <c r="O306" s="302">
        <v>0</v>
      </c>
      <c r="P306" s="126">
        <f t="shared" si="90"/>
        <v>0</v>
      </c>
      <c r="Q306" s="97">
        <f t="shared" si="91"/>
        <v>0</v>
      </c>
      <c r="R306" s="126">
        <f t="shared" si="92"/>
        <v>0</v>
      </c>
      <c r="V306" s="97"/>
    </row>
    <row r="307" spans="1:22" s="8" customFormat="1" ht="16.5" customHeight="1">
      <c r="A307" s="10">
        <v>4</v>
      </c>
      <c r="B307" s="8" t="s">
        <v>558</v>
      </c>
      <c r="C307" s="362" t="s">
        <v>554</v>
      </c>
      <c r="D307" s="298">
        <v>1</v>
      </c>
      <c r="E307" s="206">
        <v>11.5</v>
      </c>
      <c r="F307" s="126">
        <f t="shared" si="83"/>
        <v>11.5</v>
      </c>
      <c r="G307" s="299">
        <v>42.72</v>
      </c>
      <c r="H307" s="126">
        <f t="shared" si="84"/>
        <v>108.5088</v>
      </c>
      <c r="I307" s="97">
        <f t="shared" si="85"/>
        <v>1247.8511999999998</v>
      </c>
      <c r="J307" s="300">
        <v>0</v>
      </c>
      <c r="K307" s="97">
        <f t="shared" si="86"/>
        <v>0</v>
      </c>
      <c r="L307" s="301">
        <f t="shared" si="87"/>
        <v>42.72</v>
      </c>
      <c r="M307" s="126">
        <f t="shared" si="88"/>
        <v>108.5088</v>
      </c>
      <c r="N307" s="97">
        <f t="shared" si="89"/>
        <v>0</v>
      </c>
      <c r="O307" s="302">
        <v>3.25</v>
      </c>
      <c r="P307" s="126">
        <f t="shared" si="90"/>
        <v>8.255</v>
      </c>
      <c r="Q307" s="97">
        <f t="shared" si="91"/>
        <v>94.9325</v>
      </c>
      <c r="R307" s="126">
        <f t="shared" si="92"/>
        <v>0</v>
      </c>
      <c r="V307" s="97"/>
    </row>
    <row r="308" spans="1:22" s="8" customFormat="1" ht="16.5" customHeight="1">
      <c r="A308" s="10">
        <v>4</v>
      </c>
      <c r="B308" s="8" t="s">
        <v>559</v>
      </c>
      <c r="C308" s="362" t="s">
        <v>556</v>
      </c>
      <c r="D308" s="298">
        <v>1</v>
      </c>
      <c r="E308" s="206">
        <v>1.2</v>
      </c>
      <c r="F308" s="126">
        <f t="shared" si="83"/>
        <v>1.2</v>
      </c>
      <c r="G308" s="299">
        <v>42.72</v>
      </c>
      <c r="H308" s="126">
        <f t="shared" si="84"/>
        <v>108.5088</v>
      </c>
      <c r="I308" s="97">
        <f t="shared" si="85"/>
        <v>130.21056</v>
      </c>
      <c r="J308" s="300">
        <v>0</v>
      </c>
      <c r="K308" s="97">
        <f t="shared" si="86"/>
        <v>0</v>
      </c>
      <c r="L308" s="301">
        <f t="shared" si="87"/>
        <v>42.72</v>
      </c>
      <c r="M308" s="126">
        <f t="shared" si="88"/>
        <v>108.5088</v>
      </c>
      <c r="N308" s="97">
        <f t="shared" si="89"/>
        <v>0</v>
      </c>
      <c r="O308" s="302">
        <v>3.25</v>
      </c>
      <c r="P308" s="126">
        <f t="shared" si="90"/>
        <v>8.255</v>
      </c>
      <c r="Q308" s="97">
        <f t="shared" si="91"/>
        <v>9.906</v>
      </c>
      <c r="R308" s="126">
        <f t="shared" si="92"/>
        <v>0</v>
      </c>
      <c r="V308" s="97"/>
    </row>
    <row r="309" spans="1:22" s="8" customFormat="1" ht="16.5" customHeight="1">
      <c r="A309" s="10">
        <v>4</v>
      </c>
      <c r="B309" s="8" t="s">
        <v>560</v>
      </c>
      <c r="C309" s="362" t="s">
        <v>561</v>
      </c>
      <c r="D309" s="298">
        <v>1</v>
      </c>
      <c r="E309" s="206">
        <v>86.5</v>
      </c>
      <c r="F309" s="126">
        <f t="shared" si="83"/>
        <v>86.5</v>
      </c>
      <c r="G309" s="299">
        <v>27.72</v>
      </c>
      <c r="H309" s="126">
        <f t="shared" si="84"/>
        <v>70.4088</v>
      </c>
      <c r="I309" s="97">
        <f t="shared" si="85"/>
        <v>6090.3612</v>
      </c>
      <c r="J309" s="300">
        <v>0</v>
      </c>
      <c r="K309" s="97">
        <f t="shared" si="86"/>
        <v>0</v>
      </c>
      <c r="L309" s="301">
        <f t="shared" si="87"/>
        <v>27.72</v>
      </c>
      <c r="M309" s="126">
        <f t="shared" si="88"/>
        <v>70.4088</v>
      </c>
      <c r="N309" s="97">
        <f t="shared" si="89"/>
        <v>0</v>
      </c>
      <c r="O309" s="302">
        <v>-2.6</v>
      </c>
      <c r="P309" s="126">
        <f t="shared" si="90"/>
        <v>-6.604</v>
      </c>
      <c r="Q309" s="97">
        <f t="shared" si="91"/>
        <v>-571.246</v>
      </c>
      <c r="R309" s="126">
        <f t="shared" si="92"/>
        <v>0</v>
      </c>
      <c r="V309" s="97"/>
    </row>
    <row r="310" spans="1:22" s="8" customFormat="1" ht="16.5" customHeight="1">
      <c r="A310" s="10">
        <v>4</v>
      </c>
      <c r="B310" s="8" t="s">
        <v>562</v>
      </c>
      <c r="C310" s="362" t="s">
        <v>420</v>
      </c>
      <c r="D310" s="298">
        <v>1</v>
      </c>
      <c r="E310" s="206">
        <v>3</v>
      </c>
      <c r="F310" s="126">
        <f t="shared" si="83"/>
        <v>3</v>
      </c>
      <c r="G310" s="299">
        <v>27.7</v>
      </c>
      <c r="H310" s="126">
        <f t="shared" si="84"/>
        <v>70.358</v>
      </c>
      <c r="I310" s="97">
        <f t="shared" si="85"/>
        <v>211.074</v>
      </c>
      <c r="J310" s="300">
        <v>0</v>
      </c>
      <c r="K310" s="97">
        <f t="shared" si="86"/>
        <v>0</v>
      </c>
      <c r="L310" s="301">
        <f t="shared" si="87"/>
        <v>27.7</v>
      </c>
      <c r="M310" s="126">
        <f t="shared" si="88"/>
        <v>70.358</v>
      </c>
      <c r="N310" s="97">
        <f t="shared" si="89"/>
        <v>0</v>
      </c>
      <c r="O310" s="302">
        <v>-2.6</v>
      </c>
      <c r="P310" s="126">
        <f t="shared" si="90"/>
        <v>-6.604</v>
      </c>
      <c r="Q310" s="97">
        <f t="shared" si="91"/>
        <v>-19.812</v>
      </c>
      <c r="R310" s="126">
        <f t="shared" si="92"/>
        <v>0</v>
      </c>
      <c r="V310" s="97"/>
    </row>
    <row r="311" spans="1:22" s="8" customFormat="1" ht="16.5" customHeight="1">
      <c r="A311" s="10">
        <v>4</v>
      </c>
      <c r="B311" s="8" t="s">
        <v>563</v>
      </c>
      <c r="C311" s="362" t="s">
        <v>564</v>
      </c>
      <c r="D311" s="298">
        <v>1</v>
      </c>
      <c r="E311" s="206">
        <v>405.2</v>
      </c>
      <c r="F311" s="126">
        <f t="shared" si="83"/>
        <v>405.2</v>
      </c>
      <c r="G311" s="299">
        <v>27.57</v>
      </c>
      <c r="H311" s="126">
        <f t="shared" si="84"/>
        <v>70.0278</v>
      </c>
      <c r="I311" s="97">
        <f t="shared" si="85"/>
        <v>28375.26456</v>
      </c>
      <c r="J311" s="300">
        <v>0</v>
      </c>
      <c r="K311" s="97">
        <f t="shared" si="86"/>
        <v>0</v>
      </c>
      <c r="L311" s="301">
        <f t="shared" si="87"/>
        <v>27.57</v>
      </c>
      <c r="M311" s="126">
        <f t="shared" si="88"/>
        <v>70.0278</v>
      </c>
      <c r="N311" s="97">
        <f t="shared" si="89"/>
        <v>0</v>
      </c>
      <c r="O311" s="302">
        <v>0</v>
      </c>
      <c r="P311" s="126">
        <f t="shared" si="90"/>
        <v>0</v>
      </c>
      <c r="Q311" s="97">
        <f t="shared" si="91"/>
        <v>0</v>
      </c>
      <c r="R311" s="126">
        <f t="shared" si="92"/>
        <v>0</v>
      </c>
      <c r="V311" s="97"/>
    </row>
    <row r="312" spans="1:22" s="8" customFormat="1" ht="16.5" customHeight="1">
      <c r="A312" s="10">
        <v>4</v>
      </c>
      <c r="B312" s="8" t="s">
        <v>690</v>
      </c>
      <c r="C312" s="362" t="s">
        <v>691</v>
      </c>
      <c r="D312" s="298">
        <v>1</v>
      </c>
      <c r="E312" s="206">
        <v>329.7</v>
      </c>
      <c r="F312" s="126">
        <f t="shared" si="83"/>
        <v>329.7</v>
      </c>
      <c r="G312" s="299">
        <v>35.2</v>
      </c>
      <c r="H312" s="126">
        <f t="shared" si="84"/>
        <v>89.40800000000002</v>
      </c>
      <c r="I312" s="97">
        <f t="shared" si="85"/>
        <v>29477.817600000006</v>
      </c>
      <c r="J312" s="300">
        <v>0</v>
      </c>
      <c r="K312" s="97">
        <f t="shared" si="86"/>
        <v>0</v>
      </c>
      <c r="L312" s="301">
        <f t="shared" si="87"/>
        <v>35.2</v>
      </c>
      <c r="M312" s="126">
        <f t="shared" si="88"/>
        <v>89.40800000000002</v>
      </c>
      <c r="N312" s="97">
        <f t="shared" si="89"/>
        <v>0</v>
      </c>
      <c r="O312" s="302">
        <v>3.2</v>
      </c>
      <c r="P312" s="126">
        <f t="shared" si="90"/>
        <v>8.128</v>
      </c>
      <c r="Q312" s="97">
        <f t="shared" si="91"/>
        <v>2679.8016</v>
      </c>
      <c r="R312" s="126">
        <f t="shared" si="92"/>
        <v>0</v>
      </c>
      <c r="V312" s="97"/>
    </row>
    <row r="313" spans="1:22" s="8" customFormat="1" ht="16.5" customHeight="1">
      <c r="A313" s="10">
        <v>4</v>
      </c>
      <c r="B313" s="8" t="s">
        <v>692</v>
      </c>
      <c r="C313" s="362">
        <v>49853</v>
      </c>
      <c r="D313" s="298">
        <v>1</v>
      </c>
      <c r="E313" s="206">
        <v>46</v>
      </c>
      <c r="F313" s="126">
        <f t="shared" si="83"/>
        <v>46</v>
      </c>
      <c r="G313" s="299">
        <v>27.15</v>
      </c>
      <c r="H313" s="126">
        <f t="shared" si="84"/>
        <v>68.961</v>
      </c>
      <c r="I313" s="97">
        <f t="shared" si="85"/>
        <v>3172.206</v>
      </c>
      <c r="J313" s="300">
        <v>0</v>
      </c>
      <c r="K313" s="97">
        <f t="shared" si="86"/>
        <v>0</v>
      </c>
      <c r="L313" s="301">
        <f t="shared" si="87"/>
        <v>27.15</v>
      </c>
      <c r="M313" s="126">
        <f t="shared" si="88"/>
        <v>68.961</v>
      </c>
      <c r="N313" s="97">
        <f t="shared" si="89"/>
        <v>0</v>
      </c>
      <c r="O313" s="302">
        <v>3.23</v>
      </c>
      <c r="P313" s="126">
        <f t="shared" si="90"/>
        <v>8.2042</v>
      </c>
      <c r="Q313" s="97">
        <f t="shared" si="91"/>
        <v>377.3932</v>
      </c>
      <c r="R313" s="126">
        <f t="shared" si="92"/>
        <v>0</v>
      </c>
      <c r="V313" s="97"/>
    </row>
    <row r="314" spans="1:22" s="8" customFormat="1" ht="16.5" customHeight="1">
      <c r="A314" s="10">
        <v>4</v>
      </c>
      <c r="B314" s="8" t="s">
        <v>693</v>
      </c>
      <c r="C314" s="362" t="s">
        <v>694</v>
      </c>
      <c r="D314" s="298">
        <v>1</v>
      </c>
      <c r="E314" s="206">
        <v>0.4</v>
      </c>
      <c r="F314" s="126">
        <f t="shared" si="83"/>
        <v>0.4</v>
      </c>
      <c r="G314" s="299">
        <v>27.34</v>
      </c>
      <c r="H314" s="126">
        <f t="shared" si="84"/>
        <v>69.4436</v>
      </c>
      <c r="I314" s="97">
        <f t="shared" si="85"/>
        <v>27.777440000000002</v>
      </c>
      <c r="J314" s="300">
        <v>0</v>
      </c>
      <c r="K314" s="97">
        <f t="shared" si="86"/>
        <v>0</v>
      </c>
      <c r="L314" s="301">
        <f t="shared" si="87"/>
        <v>27.34</v>
      </c>
      <c r="M314" s="126">
        <f t="shared" si="88"/>
        <v>69.4436</v>
      </c>
      <c r="N314" s="97">
        <f t="shared" si="89"/>
        <v>0</v>
      </c>
      <c r="O314" s="302">
        <v>3.225</v>
      </c>
      <c r="P314" s="126">
        <f t="shared" si="90"/>
        <v>8.1915</v>
      </c>
      <c r="Q314" s="97">
        <f t="shared" si="91"/>
        <v>3.2766</v>
      </c>
      <c r="R314" s="126">
        <f t="shared" si="92"/>
        <v>0</v>
      </c>
      <c r="V314" s="97"/>
    </row>
    <row r="315" spans="1:22" s="8" customFormat="1" ht="16.5" customHeight="1">
      <c r="A315" s="10">
        <v>4</v>
      </c>
      <c r="B315" s="8" t="s">
        <v>695</v>
      </c>
      <c r="C315" s="362">
        <v>49823</v>
      </c>
      <c r="D315" s="298">
        <v>1</v>
      </c>
      <c r="E315" s="206">
        <v>12</v>
      </c>
      <c r="F315" s="126">
        <f t="shared" si="83"/>
        <v>12</v>
      </c>
      <c r="G315" s="299">
        <v>27.57</v>
      </c>
      <c r="H315" s="126">
        <f t="shared" si="84"/>
        <v>70.0278</v>
      </c>
      <c r="I315" s="97">
        <f t="shared" si="85"/>
        <v>840.3335999999999</v>
      </c>
      <c r="J315" s="300">
        <v>0</v>
      </c>
      <c r="K315" s="97">
        <f t="shared" si="86"/>
        <v>0</v>
      </c>
      <c r="L315" s="301">
        <f t="shared" si="87"/>
        <v>27.57</v>
      </c>
      <c r="M315" s="126">
        <f t="shared" si="88"/>
        <v>70.0278</v>
      </c>
      <c r="N315" s="97">
        <f t="shared" si="89"/>
        <v>0</v>
      </c>
      <c r="O315" s="302">
        <v>0</v>
      </c>
      <c r="P315" s="126">
        <f t="shared" si="90"/>
        <v>0</v>
      </c>
      <c r="Q315" s="97">
        <f t="shared" si="91"/>
        <v>0</v>
      </c>
      <c r="R315" s="126">
        <f t="shared" si="92"/>
        <v>0</v>
      </c>
      <c r="V315" s="97"/>
    </row>
    <row r="316" spans="1:22" s="8" customFormat="1" ht="16.5" customHeight="1">
      <c r="A316" s="10">
        <v>4</v>
      </c>
      <c r="B316" s="405" t="s">
        <v>696</v>
      </c>
      <c r="C316" s="369"/>
      <c r="D316" s="298">
        <v>1</v>
      </c>
      <c r="E316" s="206">
        <v>5.6</v>
      </c>
      <c r="F316" s="126">
        <f t="shared" si="83"/>
        <v>5.6</v>
      </c>
      <c r="G316" s="299">
        <v>27.57</v>
      </c>
      <c r="H316" s="126">
        <f t="shared" si="84"/>
        <v>70.0278</v>
      </c>
      <c r="I316" s="97">
        <f t="shared" si="85"/>
        <v>392.15567999999996</v>
      </c>
      <c r="J316" s="300">
        <v>0</v>
      </c>
      <c r="K316" s="97">
        <f t="shared" si="86"/>
        <v>0</v>
      </c>
      <c r="L316" s="301">
        <f t="shared" si="87"/>
        <v>27.57</v>
      </c>
      <c r="M316" s="126">
        <f t="shared" si="88"/>
        <v>70.0278</v>
      </c>
      <c r="N316" s="97">
        <f t="shared" si="89"/>
        <v>0</v>
      </c>
      <c r="O316" s="302">
        <v>0</v>
      </c>
      <c r="P316" s="126">
        <f t="shared" si="90"/>
        <v>0</v>
      </c>
      <c r="Q316" s="97">
        <f t="shared" si="91"/>
        <v>0</v>
      </c>
      <c r="R316" s="126">
        <f t="shared" si="92"/>
        <v>0</v>
      </c>
      <c r="V316" s="97"/>
    </row>
    <row r="317" spans="1:22" s="8" customFormat="1" ht="16.5" customHeight="1">
      <c r="A317" s="404">
        <v>4</v>
      </c>
      <c r="B317" s="387" t="s">
        <v>697</v>
      </c>
      <c r="C317" s="397" t="s">
        <v>698</v>
      </c>
      <c r="D317" s="389">
        <v>1</v>
      </c>
      <c r="E317" s="390">
        <v>221.4</v>
      </c>
      <c r="F317" s="391">
        <f t="shared" si="83"/>
        <v>221.4</v>
      </c>
      <c r="G317" s="392">
        <f>32.32+stroke_2*6.031</f>
        <v>36.84652398399754</v>
      </c>
      <c r="H317" s="391">
        <f t="shared" si="84"/>
        <v>93.59017091935375</v>
      </c>
      <c r="I317" s="393">
        <f t="shared" si="85"/>
        <v>20720.86384154492</v>
      </c>
      <c r="J317" s="394">
        <v>0</v>
      </c>
      <c r="K317" s="393">
        <f t="shared" si="86"/>
        <v>0</v>
      </c>
      <c r="L317" s="395">
        <f t="shared" si="87"/>
        <v>36.84652398399754</v>
      </c>
      <c r="M317" s="391">
        <f t="shared" si="88"/>
        <v>93.59017091935375</v>
      </c>
      <c r="N317" s="393">
        <f t="shared" si="89"/>
        <v>0</v>
      </c>
      <c r="O317" s="396">
        <v>3.2</v>
      </c>
      <c r="P317" s="391">
        <f t="shared" si="90"/>
        <v>8.128</v>
      </c>
      <c r="Q317" s="393">
        <f t="shared" si="91"/>
        <v>1799.5392000000002</v>
      </c>
      <c r="R317" s="391">
        <f t="shared" si="92"/>
        <v>0</v>
      </c>
      <c r="V317" s="97"/>
    </row>
    <row r="318" spans="1:22" s="8" customFormat="1" ht="16.5" customHeight="1">
      <c r="A318" s="404">
        <v>4</v>
      </c>
      <c r="B318" s="387" t="s">
        <v>699</v>
      </c>
      <c r="C318" s="397">
        <v>52375</v>
      </c>
      <c r="D318" s="389">
        <v>1</v>
      </c>
      <c r="E318" s="390">
        <v>14.8</v>
      </c>
      <c r="F318" s="391">
        <f t="shared" si="83"/>
        <v>14.8</v>
      </c>
      <c r="G318" s="392">
        <f>32.32+stroke_2*6.031</f>
        <v>36.84652398399754</v>
      </c>
      <c r="H318" s="391">
        <f t="shared" si="84"/>
        <v>93.59017091935375</v>
      </c>
      <c r="I318" s="393">
        <f t="shared" si="85"/>
        <v>1385.1345296064355</v>
      </c>
      <c r="J318" s="394">
        <v>0</v>
      </c>
      <c r="K318" s="393">
        <f t="shared" si="86"/>
        <v>0</v>
      </c>
      <c r="L318" s="395">
        <f t="shared" si="87"/>
        <v>36.84652398399754</v>
      </c>
      <c r="M318" s="391">
        <f t="shared" si="88"/>
        <v>93.59017091935375</v>
      </c>
      <c r="N318" s="393">
        <f t="shared" si="89"/>
        <v>0</v>
      </c>
      <c r="O318" s="396">
        <v>2.9</v>
      </c>
      <c r="P318" s="391">
        <f t="shared" si="90"/>
        <v>7.366</v>
      </c>
      <c r="Q318" s="393">
        <f t="shared" si="91"/>
        <v>109.0168</v>
      </c>
      <c r="R318" s="391">
        <f t="shared" si="92"/>
        <v>0</v>
      </c>
      <c r="V318" s="97"/>
    </row>
    <row r="319" spans="1:22" s="8" customFormat="1" ht="16.5" customHeight="1">
      <c r="A319" s="10">
        <v>4</v>
      </c>
      <c r="B319" s="8" t="s">
        <v>700</v>
      </c>
      <c r="C319" s="362" t="s">
        <v>701</v>
      </c>
      <c r="D319" s="298">
        <v>1</v>
      </c>
      <c r="E319" s="206">
        <v>9.4</v>
      </c>
      <c r="F319" s="126">
        <f t="shared" si="83"/>
        <v>9.4</v>
      </c>
      <c r="G319" s="299">
        <v>28.58</v>
      </c>
      <c r="H319" s="126">
        <f t="shared" si="84"/>
        <v>72.5932</v>
      </c>
      <c r="I319" s="97">
        <f t="shared" si="85"/>
        <v>682.37608</v>
      </c>
      <c r="J319" s="300">
        <v>0</v>
      </c>
      <c r="K319" s="97">
        <f t="shared" si="86"/>
        <v>0</v>
      </c>
      <c r="L319" s="301">
        <f t="shared" si="87"/>
        <v>28.58</v>
      </c>
      <c r="M319" s="126">
        <f t="shared" si="88"/>
        <v>72.5932</v>
      </c>
      <c r="N319" s="97">
        <f t="shared" si="89"/>
        <v>0</v>
      </c>
      <c r="O319" s="302">
        <v>-2.18</v>
      </c>
      <c r="P319" s="126">
        <f t="shared" si="90"/>
        <v>-5.5372</v>
      </c>
      <c r="Q319" s="97">
        <f t="shared" si="91"/>
        <v>-52.04968</v>
      </c>
      <c r="R319" s="126">
        <f t="shared" si="92"/>
        <v>0</v>
      </c>
      <c r="V319" s="97"/>
    </row>
    <row r="320" spans="1:22" s="8" customFormat="1" ht="16.5" customHeight="1">
      <c r="A320" s="10">
        <v>4</v>
      </c>
      <c r="B320" s="8" t="s">
        <v>702</v>
      </c>
      <c r="C320" s="362" t="s">
        <v>701</v>
      </c>
      <c r="D320" s="298">
        <v>1</v>
      </c>
      <c r="E320" s="206">
        <v>9.4</v>
      </c>
      <c r="F320" s="126">
        <f t="shared" si="83"/>
        <v>9.4</v>
      </c>
      <c r="G320" s="299">
        <v>41.72</v>
      </c>
      <c r="H320" s="126">
        <f t="shared" si="84"/>
        <v>105.9688</v>
      </c>
      <c r="I320" s="97">
        <f t="shared" si="85"/>
        <v>996.1067200000001</v>
      </c>
      <c r="J320" s="300">
        <v>0</v>
      </c>
      <c r="K320" s="97">
        <f t="shared" si="86"/>
        <v>0</v>
      </c>
      <c r="L320" s="301">
        <f t="shared" si="87"/>
        <v>41.72</v>
      </c>
      <c r="M320" s="126">
        <f t="shared" si="88"/>
        <v>105.9688</v>
      </c>
      <c r="N320" s="97">
        <f t="shared" si="89"/>
        <v>0</v>
      </c>
      <c r="O320" s="302">
        <v>-2.18</v>
      </c>
      <c r="P320" s="126">
        <f t="shared" si="90"/>
        <v>-5.5372</v>
      </c>
      <c r="Q320" s="97">
        <f t="shared" si="91"/>
        <v>-52.04968</v>
      </c>
      <c r="R320" s="126">
        <f t="shared" si="92"/>
        <v>0</v>
      </c>
      <c r="V320" s="97"/>
    </row>
    <row r="321" spans="1:22" s="8" customFormat="1" ht="16.5" customHeight="1">
      <c r="A321" s="10">
        <v>4</v>
      </c>
      <c r="B321" s="8" t="s">
        <v>703</v>
      </c>
      <c r="C321" s="362" t="s">
        <v>704</v>
      </c>
      <c r="D321" s="298">
        <v>1</v>
      </c>
      <c r="E321" s="206">
        <v>0.1</v>
      </c>
      <c r="F321" s="126">
        <f t="shared" si="83"/>
        <v>0.1</v>
      </c>
      <c r="G321" s="299">
        <v>42.72</v>
      </c>
      <c r="H321" s="126">
        <f t="shared" si="84"/>
        <v>108.5088</v>
      </c>
      <c r="I321" s="97">
        <f t="shared" si="85"/>
        <v>10.85088</v>
      </c>
      <c r="J321" s="300">
        <v>0</v>
      </c>
      <c r="K321" s="97">
        <f t="shared" si="86"/>
        <v>0</v>
      </c>
      <c r="L321" s="301">
        <f t="shared" si="87"/>
        <v>42.72</v>
      </c>
      <c r="M321" s="126">
        <f t="shared" si="88"/>
        <v>108.5088</v>
      </c>
      <c r="N321" s="97">
        <f t="shared" si="89"/>
        <v>0</v>
      </c>
      <c r="O321" s="302">
        <v>3.25</v>
      </c>
      <c r="P321" s="126">
        <f t="shared" si="90"/>
        <v>8.255</v>
      </c>
      <c r="Q321" s="97">
        <f t="shared" si="91"/>
        <v>0.8255000000000001</v>
      </c>
      <c r="R321" s="126">
        <f t="shared" si="92"/>
        <v>0</v>
      </c>
      <c r="V321" s="97"/>
    </row>
    <row r="322" spans="1:22" s="8" customFormat="1" ht="16.5" customHeight="1">
      <c r="A322" s="404">
        <v>4</v>
      </c>
      <c r="B322" s="387" t="s">
        <v>705</v>
      </c>
      <c r="C322" s="397" t="s">
        <v>706</v>
      </c>
      <c r="D322" s="389">
        <v>1</v>
      </c>
      <c r="E322" s="390">
        <v>166.9</v>
      </c>
      <c r="F322" s="391">
        <f t="shared" si="83"/>
        <v>166.9</v>
      </c>
      <c r="G322" s="392">
        <f>32.32+stroke_2*6.031</f>
        <v>36.84652398399754</v>
      </c>
      <c r="H322" s="391">
        <f t="shared" si="84"/>
        <v>93.59017091935375</v>
      </c>
      <c r="I322" s="393">
        <f t="shared" si="85"/>
        <v>15620.199526440141</v>
      </c>
      <c r="J322" s="394">
        <v>0</v>
      </c>
      <c r="K322" s="393">
        <f t="shared" si="86"/>
        <v>0</v>
      </c>
      <c r="L322" s="395">
        <f t="shared" si="87"/>
        <v>36.84652398399754</v>
      </c>
      <c r="M322" s="391">
        <f t="shared" si="88"/>
        <v>93.59017091935375</v>
      </c>
      <c r="N322" s="393">
        <f t="shared" si="89"/>
        <v>0</v>
      </c>
      <c r="O322" s="396">
        <v>2.78</v>
      </c>
      <c r="P322" s="391">
        <f t="shared" si="90"/>
        <v>7.0611999999999995</v>
      </c>
      <c r="Q322" s="393">
        <f t="shared" si="91"/>
        <v>1178.5142799999999</v>
      </c>
      <c r="R322" s="391">
        <f t="shared" si="92"/>
        <v>0</v>
      </c>
      <c r="V322" s="97"/>
    </row>
    <row r="323" spans="1:22" s="8" customFormat="1" ht="16.5" customHeight="1">
      <c r="A323" s="404">
        <v>4</v>
      </c>
      <c r="B323" s="387" t="s">
        <v>707</v>
      </c>
      <c r="C323" s="397" t="s">
        <v>708</v>
      </c>
      <c r="D323" s="389">
        <v>1</v>
      </c>
      <c r="E323" s="390">
        <v>3.6</v>
      </c>
      <c r="F323" s="391">
        <f t="shared" si="83"/>
        <v>3.6</v>
      </c>
      <c r="G323" s="392">
        <f>32.32+stroke_2*6.031</f>
        <v>36.84652398399754</v>
      </c>
      <c r="H323" s="391">
        <f t="shared" si="84"/>
        <v>93.59017091935375</v>
      </c>
      <c r="I323" s="393">
        <f t="shared" si="85"/>
        <v>336.9246153096735</v>
      </c>
      <c r="J323" s="394">
        <v>0</v>
      </c>
      <c r="K323" s="393">
        <f t="shared" si="86"/>
        <v>0</v>
      </c>
      <c r="L323" s="395">
        <f t="shared" si="87"/>
        <v>36.84652398399754</v>
      </c>
      <c r="M323" s="391">
        <f t="shared" si="88"/>
        <v>93.59017091935375</v>
      </c>
      <c r="N323" s="393">
        <f t="shared" si="89"/>
        <v>0</v>
      </c>
      <c r="O323" s="396">
        <v>-2.14</v>
      </c>
      <c r="P323" s="391">
        <f t="shared" si="90"/>
        <v>-5.4356</v>
      </c>
      <c r="Q323" s="393">
        <f t="shared" si="91"/>
        <v>-19.56816</v>
      </c>
      <c r="R323" s="391">
        <f t="shared" si="92"/>
        <v>0</v>
      </c>
      <c r="V323" s="97"/>
    </row>
    <row r="324" spans="1:22" s="8" customFormat="1" ht="16.5" customHeight="1">
      <c r="A324" s="404">
        <v>4</v>
      </c>
      <c r="B324" s="387" t="s">
        <v>709</v>
      </c>
      <c r="C324" s="397" t="s">
        <v>710</v>
      </c>
      <c r="D324" s="389">
        <v>1</v>
      </c>
      <c r="E324" s="390">
        <v>2.9</v>
      </c>
      <c r="F324" s="391">
        <f t="shared" si="83"/>
        <v>2.9</v>
      </c>
      <c r="G324" s="392">
        <f>32.32+stroke_2*6.031</f>
        <v>36.84652398399754</v>
      </c>
      <c r="H324" s="391">
        <f t="shared" si="84"/>
        <v>93.59017091935375</v>
      </c>
      <c r="I324" s="393">
        <f t="shared" si="85"/>
        <v>271.41149566612586</v>
      </c>
      <c r="J324" s="394">
        <v>0</v>
      </c>
      <c r="K324" s="393">
        <f t="shared" si="86"/>
        <v>0</v>
      </c>
      <c r="L324" s="395">
        <f t="shared" si="87"/>
        <v>36.84652398399754</v>
      </c>
      <c r="M324" s="391">
        <f t="shared" si="88"/>
        <v>93.59017091935375</v>
      </c>
      <c r="N324" s="393">
        <f t="shared" si="89"/>
        <v>0</v>
      </c>
      <c r="O324" s="396">
        <v>2.9</v>
      </c>
      <c r="P324" s="391">
        <f t="shared" si="90"/>
        <v>7.366</v>
      </c>
      <c r="Q324" s="393">
        <f t="shared" si="91"/>
        <v>21.3614</v>
      </c>
      <c r="R324" s="391">
        <f t="shared" si="92"/>
        <v>0</v>
      </c>
      <c r="V324" s="97"/>
    </row>
    <row r="325" spans="1:22" s="8" customFormat="1" ht="16.5" customHeight="1">
      <c r="A325" s="10">
        <v>4</v>
      </c>
      <c r="B325" s="8" t="s">
        <v>711</v>
      </c>
      <c r="C325" s="362">
        <v>52286</v>
      </c>
      <c r="D325" s="298">
        <v>1</v>
      </c>
      <c r="E325" s="206">
        <v>71.3</v>
      </c>
      <c r="F325" s="126">
        <f t="shared" si="83"/>
        <v>71.3</v>
      </c>
      <c r="G325" s="299">
        <v>27.06</v>
      </c>
      <c r="H325" s="126">
        <f t="shared" si="84"/>
        <v>68.7324</v>
      </c>
      <c r="I325" s="97">
        <f t="shared" si="85"/>
        <v>4900.62012</v>
      </c>
      <c r="J325" s="300">
        <v>0</v>
      </c>
      <c r="K325" s="97">
        <f t="shared" si="86"/>
        <v>0</v>
      </c>
      <c r="L325" s="301">
        <f t="shared" si="87"/>
        <v>27.06</v>
      </c>
      <c r="M325" s="126">
        <f t="shared" si="88"/>
        <v>68.7324</v>
      </c>
      <c r="N325" s="97">
        <f t="shared" si="89"/>
        <v>0</v>
      </c>
      <c r="O325" s="302">
        <v>2.35</v>
      </c>
      <c r="P325" s="126">
        <f t="shared" si="90"/>
        <v>5.969</v>
      </c>
      <c r="Q325" s="97">
        <f t="shared" si="91"/>
        <v>425.5897</v>
      </c>
      <c r="R325" s="126">
        <f t="shared" si="92"/>
        <v>0</v>
      </c>
      <c r="V325" s="97"/>
    </row>
    <row r="326" spans="1:22" s="8" customFormat="1" ht="16.5" customHeight="1">
      <c r="A326" s="10">
        <v>4</v>
      </c>
      <c r="B326" s="8" t="s">
        <v>712</v>
      </c>
      <c r="C326" s="362">
        <v>49850</v>
      </c>
      <c r="D326" s="298">
        <v>1</v>
      </c>
      <c r="E326" s="206">
        <v>1.4</v>
      </c>
      <c r="F326" s="126">
        <f t="shared" si="83"/>
        <v>1.4</v>
      </c>
      <c r="G326" s="299">
        <v>27.06</v>
      </c>
      <c r="H326" s="126">
        <f t="shared" si="84"/>
        <v>68.7324</v>
      </c>
      <c r="I326" s="97">
        <f t="shared" si="85"/>
        <v>96.22536</v>
      </c>
      <c r="J326" s="300">
        <v>0</v>
      </c>
      <c r="K326" s="97">
        <f t="shared" si="86"/>
        <v>0</v>
      </c>
      <c r="L326" s="301">
        <f t="shared" si="87"/>
        <v>27.06</v>
      </c>
      <c r="M326" s="126">
        <f t="shared" si="88"/>
        <v>68.7324</v>
      </c>
      <c r="N326" s="97">
        <f t="shared" si="89"/>
        <v>0</v>
      </c>
      <c r="O326" s="302">
        <v>2.35</v>
      </c>
      <c r="P326" s="126">
        <f t="shared" si="90"/>
        <v>5.969</v>
      </c>
      <c r="Q326" s="97">
        <f t="shared" si="91"/>
        <v>8.3566</v>
      </c>
      <c r="R326" s="126">
        <f t="shared" si="92"/>
        <v>0</v>
      </c>
      <c r="V326" s="97"/>
    </row>
    <row r="327" spans="1:22" s="8" customFormat="1" ht="16.5" customHeight="1">
      <c r="A327" s="10">
        <v>4</v>
      </c>
      <c r="B327" s="8" t="s">
        <v>588</v>
      </c>
      <c r="C327" s="362" t="s">
        <v>589</v>
      </c>
      <c r="D327" s="298">
        <v>1</v>
      </c>
      <c r="E327" s="206">
        <v>0.4</v>
      </c>
      <c r="F327" s="126">
        <f t="shared" si="83"/>
        <v>0.4</v>
      </c>
      <c r="G327" s="299">
        <v>27.06</v>
      </c>
      <c r="H327" s="126">
        <f t="shared" si="84"/>
        <v>68.7324</v>
      </c>
      <c r="I327" s="97">
        <f t="shared" si="85"/>
        <v>27.49296</v>
      </c>
      <c r="J327" s="300">
        <v>0</v>
      </c>
      <c r="K327" s="97">
        <f t="shared" si="86"/>
        <v>0</v>
      </c>
      <c r="L327" s="301">
        <f t="shared" si="87"/>
        <v>27.06</v>
      </c>
      <c r="M327" s="126">
        <f t="shared" si="88"/>
        <v>68.7324</v>
      </c>
      <c r="N327" s="97">
        <f t="shared" si="89"/>
        <v>0</v>
      </c>
      <c r="O327" s="302">
        <v>2.35</v>
      </c>
      <c r="P327" s="126">
        <f t="shared" si="90"/>
        <v>5.969</v>
      </c>
      <c r="Q327" s="97">
        <f t="shared" si="91"/>
        <v>2.3876000000000004</v>
      </c>
      <c r="R327" s="126">
        <f t="shared" si="92"/>
        <v>0</v>
      </c>
      <c r="V327" s="97"/>
    </row>
    <row r="328" spans="1:22" s="8" customFormat="1" ht="16.5" customHeight="1">
      <c r="A328" s="10">
        <v>4</v>
      </c>
      <c r="B328" s="8" t="s">
        <v>590</v>
      </c>
      <c r="C328" s="362">
        <v>49825</v>
      </c>
      <c r="D328" s="298">
        <v>1</v>
      </c>
      <c r="E328" s="206">
        <v>23</v>
      </c>
      <c r="F328" s="126">
        <f t="shared" si="83"/>
        <v>23</v>
      </c>
      <c r="G328" s="299">
        <v>27.54</v>
      </c>
      <c r="H328" s="126">
        <f t="shared" si="84"/>
        <v>69.9516</v>
      </c>
      <c r="I328" s="97">
        <f t="shared" si="85"/>
        <v>1608.8868</v>
      </c>
      <c r="J328" s="300">
        <v>0</v>
      </c>
      <c r="K328" s="97">
        <f t="shared" si="86"/>
        <v>0</v>
      </c>
      <c r="L328" s="301">
        <f t="shared" si="87"/>
        <v>27.54</v>
      </c>
      <c r="M328" s="126">
        <f t="shared" si="88"/>
        <v>69.9516</v>
      </c>
      <c r="N328" s="97">
        <f t="shared" si="89"/>
        <v>0</v>
      </c>
      <c r="O328" s="302">
        <v>2.39</v>
      </c>
      <c r="P328" s="126">
        <f t="shared" si="90"/>
        <v>6.070600000000001</v>
      </c>
      <c r="Q328" s="97">
        <f t="shared" si="91"/>
        <v>139.62380000000002</v>
      </c>
      <c r="R328" s="126">
        <f t="shared" si="92"/>
        <v>0</v>
      </c>
      <c r="V328" s="97"/>
    </row>
    <row r="329" spans="1:22" s="8" customFormat="1" ht="16.5" customHeight="1">
      <c r="A329" s="10">
        <v>4</v>
      </c>
      <c r="B329" s="8" t="s">
        <v>591</v>
      </c>
      <c r="C329" s="362" t="s">
        <v>592</v>
      </c>
      <c r="D329" s="298">
        <v>1</v>
      </c>
      <c r="E329" s="206">
        <v>9.2</v>
      </c>
      <c r="F329" s="126">
        <f t="shared" si="83"/>
        <v>9.2</v>
      </c>
      <c r="G329" s="299">
        <v>27.06</v>
      </c>
      <c r="H329" s="126">
        <f t="shared" si="84"/>
        <v>68.7324</v>
      </c>
      <c r="I329" s="97">
        <f t="shared" si="85"/>
        <v>632.33808</v>
      </c>
      <c r="J329" s="300">
        <v>0</v>
      </c>
      <c r="K329" s="97">
        <f t="shared" si="86"/>
        <v>0</v>
      </c>
      <c r="L329" s="301">
        <f t="shared" si="87"/>
        <v>27.06</v>
      </c>
      <c r="M329" s="126">
        <f t="shared" si="88"/>
        <v>68.7324</v>
      </c>
      <c r="N329" s="97">
        <f t="shared" si="89"/>
        <v>0</v>
      </c>
      <c r="O329" s="302">
        <v>2.35</v>
      </c>
      <c r="P329" s="126">
        <f t="shared" si="90"/>
        <v>5.969</v>
      </c>
      <c r="Q329" s="97">
        <f t="shared" si="91"/>
        <v>54.9148</v>
      </c>
      <c r="R329" s="126">
        <f t="shared" si="92"/>
        <v>0</v>
      </c>
      <c r="V329" s="97"/>
    </row>
    <row r="330" spans="1:22" s="405" customFormat="1" ht="33" customHeight="1">
      <c r="A330" s="406">
        <v>4</v>
      </c>
      <c r="B330" s="405" t="s">
        <v>593</v>
      </c>
      <c r="C330" s="369" t="s">
        <v>594</v>
      </c>
      <c r="D330" s="407">
        <v>1</v>
      </c>
      <c r="E330" s="408">
        <v>2.3</v>
      </c>
      <c r="F330" s="409">
        <f t="shared" si="83"/>
        <v>2.3</v>
      </c>
      <c r="G330" s="410">
        <v>27.06</v>
      </c>
      <c r="H330" s="409">
        <f t="shared" si="84"/>
        <v>68.7324</v>
      </c>
      <c r="I330" s="411">
        <f t="shared" si="85"/>
        <v>158.08452</v>
      </c>
      <c r="J330" s="412">
        <v>0</v>
      </c>
      <c r="K330" s="411">
        <f t="shared" si="86"/>
        <v>0</v>
      </c>
      <c r="L330" s="413">
        <f t="shared" si="87"/>
        <v>27.06</v>
      </c>
      <c r="M330" s="409">
        <f t="shared" si="88"/>
        <v>68.7324</v>
      </c>
      <c r="N330" s="411">
        <f t="shared" si="89"/>
        <v>0</v>
      </c>
      <c r="O330" s="414">
        <v>2.35</v>
      </c>
      <c r="P330" s="409">
        <f t="shared" si="90"/>
        <v>5.969</v>
      </c>
      <c r="Q330" s="411">
        <f t="shared" si="91"/>
        <v>13.7287</v>
      </c>
      <c r="R330" s="409">
        <f t="shared" si="92"/>
        <v>0</v>
      </c>
      <c r="V330" s="411"/>
    </row>
    <row r="331" spans="1:22" s="8" customFormat="1" ht="16.5" customHeight="1">
      <c r="A331" s="10">
        <v>4</v>
      </c>
      <c r="B331" s="8" t="s">
        <v>595</v>
      </c>
      <c r="C331" s="362" t="s">
        <v>596</v>
      </c>
      <c r="D331" s="298">
        <v>1</v>
      </c>
      <c r="E331" s="206">
        <v>15.9</v>
      </c>
      <c r="F331" s="126">
        <f t="shared" si="83"/>
        <v>15.9</v>
      </c>
      <c r="G331" s="299">
        <v>27.06</v>
      </c>
      <c r="H331" s="126">
        <f t="shared" si="84"/>
        <v>68.7324</v>
      </c>
      <c r="I331" s="97">
        <f t="shared" si="85"/>
        <v>1092.84516</v>
      </c>
      <c r="J331" s="300">
        <v>0</v>
      </c>
      <c r="K331" s="97">
        <f t="shared" si="86"/>
        <v>0</v>
      </c>
      <c r="L331" s="301">
        <f t="shared" si="87"/>
        <v>27.06</v>
      </c>
      <c r="M331" s="126">
        <f t="shared" si="88"/>
        <v>68.7324</v>
      </c>
      <c r="N331" s="97">
        <f t="shared" si="89"/>
        <v>0</v>
      </c>
      <c r="O331" s="302">
        <v>2.35</v>
      </c>
      <c r="P331" s="126">
        <f t="shared" si="90"/>
        <v>5.969</v>
      </c>
      <c r="Q331" s="97">
        <f t="shared" si="91"/>
        <v>94.90710000000001</v>
      </c>
      <c r="R331" s="126">
        <f t="shared" si="92"/>
        <v>0</v>
      </c>
      <c r="V331" s="97"/>
    </row>
    <row r="332" spans="1:22" s="8" customFormat="1" ht="16.5" customHeight="1">
      <c r="A332" s="10">
        <v>4</v>
      </c>
      <c r="B332" s="8" t="s">
        <v>597</v>
      </c>
      <c r="C332" s="362" t="s">
        <v>598</v>
      </c>
      <c r="D332" s="298">
        <v>1</v>
      </c>
      <c r="E332" s="206">
        <v>0.2</v>
      </c>
      <c r="F332" s="126">
        <f t="shared" si="83"/>
        <v>0.2</v>
      </c>
      <c r="G332" s="299">
        <v>27.06</v>
      </c>
      <c r="H332" s="126">
        <f t="shared" si="84"/>
        <v>68.7324</v>
      </c>
      <c r="I332" s="97">
        <f t="shared" si="85"/>
        <v>13.74648</v>
      </c>
      <c r="J332" s="300">
        <v>0</v>
      </c>
      <c r="K332" s="97">
        <f t="shared" si="86"/>
        <v>0</v>
      </c>
      <c r="L332" s="301">
        <f t="shared" si="87"/>
        <v>27.06</v>
      </c>
      <c r="M332" s="126">
        <f t="shared" si="88"/>
        <v>68.7324</v>
      </c>
      <c r="N332" s="97">
        <f t="shared" si="89"/>
        <v>0</v>
      </c>
      <c r="O332" s="302">
        <v>2.35</v>
      </c>
      <c r="P332" s="126">
        <f t="shared" si="90"/>
        <v>5.969</v>
      </c>
      <c r="Q332" s="97">
        <f t="shared" si="91"/>
        <v>1.1938000000000002</v>
      </c>
      <c r="R332" s="126">
        <f t="shared" si="92"/>
        <v>0</v>
      </c>
      <c r="V332" s="97"/>
    </row>
    <row r="333" spans="1:22" s="8" customFormat="1" ht="16.5" customHeight="1">
      <c r="A333" s="10">
        <v>4</v>
      </c>
      <c r="B333" s="8" t="s">
        <v>599</v>
      </c>
      <c r="C333" s="362" t="s">
        <v>600</v>
      </c>
      <c r="D333" s="298">
        <v>1</v>
      </c>
      <c r="E333" s="206">
        <v>1</v>
      </c>
      <c r="F333" s="126">
        <f t="shared" si="83"/>
        <v>1</v>
      </c>
      <c r="G333" s="299">
        <v>27.06</v>
      </c>
      <c r="H333" s="126">
        <f t="shared" si="84"/>
        <v>68.7324</v>
      </c>
      <c r="I333" s="97">
        <f t="shared" si="85"/>
        <v>68.7324</v>
      </c>
      <c r="J333" s="300">
        <v>0</v>
      </c>
      <c r="K333" s="97">
        <f t="shared" si="86"/>
        <v>0</v>
      </c>
      <c r="L333" s="301">
        <f t="shared" si="87"/>
        <v>27.06</v>
      </c>
      <c r="M333" s="126">
        <f t="shared" si="88"/>
        <v>68.7324</v>
      </c>
      <c r="N333" s="97">
        <f t="shared" si="89"/>
        <v>0</v>
      </c>
      <c r="O333" s="302">
        <v>2.35</v>
      </c>
      <c r="P333" s="126">
        <f t="shared" si="90"/>
        <v>5.969</v>
      </c>
      <c r="Q333" s="97">
        <f t="shared" si="91"/>
        <v>5.969</v>
      </c>
      <c r="R333" s="126">
        <f t="shared" si="92"/>
        <v>0</v>
      </c>
      <c r="V333" s="97"/>
    </row>
    <row r="334" spans="1:22" s="8" customFormat="1" ht="16.5" customHeight="1">
      <c r="A334" s="10">
        <v>4</v>
      </c>
      <c r="B334" s="8" t="s">
        <v>601</v>
      </c>
      <c r="C334" s="362" t="s">
        <v>602</v>
      </c>
      <c r="D334" s="298">
        <v>1</v>
      </c>
      <c r="E334" s="206">
        <v>0</v>
      </c>
      <c r="F334" s="126">
        <f t="shared" si="83"/>
        <v>0</v>
      </c>
      <c r="G334" s="299">
        <v>27.54</v>
      </c>
      <c r="H334" s="126">
        <f t="shared" si="84"/>
        <v>69.9516</v>
      </c>
      <c r="I334" s="366">
        <f t="shared" si="85"/>
        <v>0</v>
      </c>
      <c r="J334" s="230">
        <v>0</v>
      </c>
      <c r="K334" s="126">
        <f t="shared" si="86"/>
        <v>0</v>
      </c>
      <c r="L334" s="301">
        <f t="shared" si="87"/>
        <v>27.54</v>
      </c>
      <c r="M334" s="126">
        <f t="shared" si="88"/>
        <v>69.9516</v>
      </c>
      <c r="N334" s="97"/>
      <c r="O334" s="302">
        <v>2.39</v>
      </c>
      <c r="P334" s="126">
        <f t="shared" si="90"/>
        <v>6.070600000000001</v>
      </c>
      <c r="Q334" s="97">
        <f t="shared" si="91"/>
        <v>0</v>
      </c>
      <c r="R334" s="126">
        <f t="shared" si="92"/>
        <v>0</v>
      </c>
      <c r="V334" s="97"/>
    </row>
    <row r="335" spans="1:22" s="8" customFormat="1" ht="16.5" customHeight="1">
      <c r="A335" s="10">
        <v>4</v>
      </c>
      <c r="B335" s="8" t="s">
        <v>603</v>
      </c>
      <c r="C335" s="362" t="s">
        <v>604</v>
      </c>
      <c r="D335" s="298">
        <v>1</v>
      </c>
      <c r="E335" s="206">
        <v>5.9</v>
      </c>
      <c r="F335" s="126">
        <f t="shared" si="83"/>
        <v>5.9</v>
      </c>
      <c r="G335" s="299">
        <v>27.54</v>
      </c>
      <c r="H335" s="126">
        <f t="shared" si="84"/>
        <v>69.9516</v>
      </c>
      <c r="I335" s="97">
        <f t="shared" si="85"/>
        <v>412.71444</v>
      </c>
      <c r="J335" s="300">
        <v>0</v>
      </c>
      <c r="K335" s="97">
        <f t="shared" si="86"/>
        <v>0</v>
      </c>
      <c r="L335" s="301">
        <f t="shared" si="87"/>
        <v>27.54</v>
      </c>
      <c r="M335" s="126">
        <f t="shared" si="88"/>
        <v>69.9516</v>
      </c>
      <c r="N335" s="97">
        <f>K335*M335</f>
        <v>0</v>
      </c>
      <c r="O335" s="302">
        <v>2.39</v>
      </c>
      <c r="P335" s="126">
        <f t="shared" si="90"/>
        <v>6.070600000000001</v>
      </c>
      <c r="Q335" s="97">
        <f t="shared" si="91"/>
        <v>35.81654</v>
      </c>
      <c r="R335" s="126">
        <f t="shared" si="92"/>
        <v>0</v>
      </c>
      <c r="V335" s="97"/>
    </row>
    <row r="336" spans="1:22" s="8" customFormat="1" ht="16.5" customHeight="1">
      <c r="A336" s="10">
        <v>4</v>
      </c>
      <c r="B336" s="8" t="s">
        <v>605</v>
      </c>
      <c r="C336" s="362" t="s">
        <v>606</v>
      </c>
      <c r="D336" s="298">
        <v>1</v>
      </c>
      <c r="E336" s="206">
        <v>2.2</v>
      </c>
      <c r="F336" s="126">
        <f t="shared" si="83"/>
        <v>2.2</v>
      </c>
      <c r="G336" s="299">
        <v>27.54</v>
      </c>
      <c r="H336" s="126">
        <f t="shared" si="84"/>
        <v>69.9516</v>
      </c>
      <c r="I336" s="97">
        <f t="shared" si="85"/>
        <v>153.89352000000002</v>
      </c>
      <c r="J336" s="300">
        <v>0</v>
      </c>
      <c r="K336" s="97">
        <f t="shared" si="86"/>
        <v>0</v>
      </c>
      <c r="L336" s="301">
        <f t="shared" si="87"/>
        <v>27.54</v>
      </c>
      <c r="M336" s="126">
        <f t="shared" si="88"/>
        <v>69.9516</v>
      </c>
      <c r="N336" s="97">
        <f>K336*M336</f>
        <v>0</v>
      </c>
      <c r="O336" s="302">
        <v>2.39</v>
      </c>
      <c r="P336" s="126">
        <f t="shared" si="90"/>
        <v>6.070600000000001</v>
      </c>
      <c r="Q336" s="97">
        <f t="shared" si="91"/>
        <v>13.355320000000003</v>
      </c>
      <c r="R336" s="126">
        <f t="shared" si="92"/>
        <v>0</v>
      </c>
      <c r="V336" s="97"/>
    </row>
    <row r="337" spans="1:22" s="8" customFormat="1" ht="16.5" customHeight="1">
      <c r="A337" s="10">
        <v>4</v>
      </c>
      <c r="B337" s="8" t="s">
        <v>607</v>
      </c>
      <c r="C337" s="362" t="s">
        <v>608</v>
      </c>
      <c r="D337" s="298">
        <v>1</v>
      </c>
      <c r="E337" s="206">
        <v>30.6</v>
      </c>
      <c r="F337" s="126">
        <f t="shared" si="83"/>
        <v>30.6</v>
      </c>
      <c r="G337" s="299">
        <v>27.72</v>
      </c>
      <c r="H337" s="126">
        <f t="shared" si="84"/>
        <v>70.4088</v>
      </c>
      <c r="I337" s="97">
        <f t="shared" si="85"/>
        <v>2154.50928</v>
      </c>
      <c r="J337" s="300">
        <v>0</v>
      </c>
      <c r="K337" s="97">
        <f t="shared" si="86"/>
        <v>0</v>
      </c>
      <c r="L337" s="301">
        <f t="shared" si="87"/>
        <v>27.72</v>
      </c>
      <c r="M337" s="126">
        <f t="shared" si="88"/>
        <v>70.4088</v>
      </c>
      <c r="N337" s="97">
        <f>K337*M337</f>
        <v>0</v>
      </c>
      <c r="O337" s="302">
        <v>1.99</v>
      </c>
      <c r="P337" s="126">
        <f t="shared" si="90"/>
        <v>5.0546</v>
      </c>
      <c r="Q337" s="97">
        <f t="shared" si="91"/>
        <v>154.67076</v>
      </c>
      <c r="R337" s="126">
        <f t="shared" si="92"/>
        <v>0</v>
      </c>
      <c r="V337" s="97"/>
    </row>
    <row r="338" spans="1:22" s="8" customFormat="1" ht="16.5" customHeight="1">
      <c r="A338" s="10">
        <v>4</v>
      </c>
      <c r="B338" s="8" t="s">
        <v>609</v>
      </c>
      <c r="C338" s="362">
        <v>52460</v>
      </c>
      <c r="D338" s="298">
        <v>1</v>
      </c>
      <c r="E338" s="206">
        <v>9</v>
      </c>
      <c r="F338" s="126">
        <f t="shared" si="83"/>
        <v>9</v>
      </c>
      <c r="G338" s="299">
        <v>26.8</v>
      </c>
      <c r="H338" s="126">
        <f t="shared" si="84"/>
        <v>68.072</v>
      </c>
      <c r="I338" s="97">
        <f t="shared" si="85"/>
        <v>612.648</v>
      </c>
      <c r="J338" s="300">
        <v>0</v>
      </c>
      <c r="K338" s="97">
        <f t="shared" si="86"/>
        <v>0</v>
      </c>
      <c r="L338" s="301">
        <f t="shared" si="87"/>
        <v>26.8</v>
      </c>
      <c r="M338" s="126">
        <f t="shared" si="88"/>
        <v>68.072</v>
      </c>
      <c r="N338" s="97">
        <f>K338*M338</f>
        <v>0</v>
      </c>
      <c r="O338" s="302">
        <v>3.24</v>
      </c>
      <c r="P338" s="126">
        <f t="shared" si="90"/>
        <v>8.229600000000001</v>
      </c>
      <c r="Q338" s="97">
        <f t="shared" si="91"/>
        <v>74.06640000000002</v>
      </c>
      <c r="R338" s="126">
        <f t="shared" si="92"/>
        <v>0</v>
      </c>
      <c r="V338" s="97"/>
    </row>
    <row r="339" spans="1:22" s="8" customFormat="1" ht="16.5" customHeight="1">
      <c r="A339" s="10">
        <v>4</v>
      </c>
      <c r="B339" s="8" t="s">
        <v>610</v>
      </c>
      <c r="C339" s="362">
        <v>52461</v>
      </c>
      <c r="D339" s="298">
        <v>1</v>
      </c>
      <c r="E339" s="206">
        <v>13.2</v>
      </c>
      <c r="F339" s="126">
        <f t="shared" si="83"/>
        <v>13.2</v>
      </c>
      <c r="G339" s="299">
        <v>26.78</v>
      </c>
      <c r="H339" s="126">
        <f t="shared" si="84"/>
        <v>68.02120000000001</v>
      </c>
      <c r="I339" s="97">
        <f t="shared" si="85"/>
        <v>897.8798400000001</v>
      </c>
      <c r="J339" s="300">
        <v>0</v>
      </c>
      <c r="K339" s="97">
        <f t="shared" si="86"/>
        <v>0</v>
      </c>
      <c r="L339" s="301">
        <f t="shared" si="87"/>
        <v>26.78</v>
      </c>
      <c r="M339" s="126">
        <f t="shared" si="88"/>
        <v>68.02120000000001</v>
      </c>
      <c r="N339" s="97">
        <f>K339*M339</f>
        <v>0</v>
      </c>
      <c r="O339" s="302">
        <v>2.01</v>
      </c>
      <c r="P339" s="126">
        <f t="shared" si="90"/>
        <v>5.1053999999999995</v>
      </c>
      <c r="Q339" s="97">
        <f t="shared" si="91"/>
        <v>67.39128</v>
      </c>
      <c r="R339" s="126">
        <f t="shared" si="92"/>
        <v>0</v>
      </c>
      <c r="V339" s="97"/>
    </row>
    <row r="340" spans="1:22" s="8" customFormat="1" ht="16.5" customHeight="1">
      <c r="A340" s="10"/>
      <c r="C340" s="10"/>
      <c r="D340" s="298"/>
      <c r="E340" s="206"/>
      <c r="F340" s="126"/>
      <c r="G340" s="299"/>
      <c r="H340" s="126"/>
      <c r="I340" s="97"/>
      <c r="J340" s="300"/>
      <c r="K340" s="97"/>
      <c r="L340" s="301"/>
      <c r="M340" s="126"/>
      <c r="N340" s="97"/>
      <c r="O340" s="302"/>
      <c r="P340" s="126"/>
      <c r="Q340" s="97" t="s">
        <v>611</v>
      </c>
      <c r="R340" s="126"/>
      <c r="S340" s="118"/>
      <c r="V340" s="97"/>
    </row>
    <row r="341" spans="1:22" s="8" customFormat="1" ht="16.5" customHeight="1">
      <c r="A341" s="10">
        <v>3</v>
      </c>
      <c r="B341" s="361" t="s">
        <v>612</v>
      </c>
      <c r="C341" s="195">
        <v>55530</v>
      </c>
      <c r="D341" s="399"/>
      <c r="E341" s="206"/>
      <c r="F341" s="10"/>
      <c r="G341" s="299"/>
      <c r="H341" s="126"/>
      <c r="I341" s="97"/>
      <c r="J341" s="300"/>
      <c r="K341" s="97"/>
      <c r="L341" s="301"/>
      <c r="M341" s="126"/>
      <c r="N341" s="97"/>
      <c r="O341" s="302"/>
      <c r="P341" s="126"/>
      <c r="Q341" s="97"/>
      <c r="R341" s="126"/>
      <c r="V341" s="97"/>
    </row>
    <row r="342" spans="1:22" s="8" customFormat="1" ht="16.5" customHeight="1">
      <c r="A342" s="10"/>
      <c r="B342" s="6" t="s">
        <v>218</v>
      </c>
      <c r="C342" s="126">
        <f>SUM(F344:F359)</f>
        <v>349.6</v>
      </c>
      <c r="D342" s="399" t="s">
        <v>126</v>
      </c>
      <c r="E342" s="322" t="s">
        <v>312</v>
      </c>
      <c r="F342" s="10"/>
      <c r="G342" s="299"/>
      <c r="H342" s="126"/>
      <c r="I342" s="97"/>
      <c r="J342" s="300"/>
      <c r="K342" s="97"/>
      <c r="L342" s="301"/>
      <c r="M342" s="126"/>
      <c r="N342" s="97"/>
      <c r="O342" s="302"/>
      <c r="P342" s="126"/>
      <c r="Q342" s="97"/>
      <c r="R342" s="126"/>
      <c r="V342" s="97"/>
    </row>
    <row r="343" spans="1:22" s="8" customFormat="1" ht="16.5" customHeight="1">
      <c r="A343" s="10"/>
      <c r="B343" s="6" t="s">
        <v>207</v>
      </c>
      <c r="C343" s="206">
        <v>349.6</v>
      </c>
      <c r="D343" s="415" t="s">
        <v>126</v>
      </c>
      <c r="E343" s="333">
        <f>C343-C342</f>
        <v>0</v>
      </c>
      <c r="F343" s="10"/>
      <c r="G343" s="299"/>
      <c r="H343" s="126"/>
      <c r="I343" s="97"/>
      <c r="J343" s="300"/>
      <c r="K343" s="97"/>
      <c r="L343" s="301"/>
      <c r="M343" s="126"/>
      <c r="N343" s="97"/>
      <c r="O343" s="302"/>
      <c r="P343" s="126"/>
      <c r="Q343" s="97"/>
      <c r="R343" s="126"/>
      <c r="V343" s="97"/>
    </row>
    <row r="344" spans="1:22" s="8" customFormat="1" ht="16.5" customHeight="1">
      <c r="A344" s="10">
        <v>4</v>
      </c>
      <c r="B344" s="8" t="s">
        <v>613</v>
      </c>
      <c r="C344" s="103">
        <v>49827</v>
      </c>
      <c r="D344" s="200">
        <v>1</v>
      </c>
      <c r="E344" s="206">
        <v>105.5</v>
      </c>
      <c r="F344" s="126">
        <f aca="true" t="shared" si="93" ref="F344:F358">E344*D344</f>
        <v>105.5</v>
      </c>
      <c r="G344" s="299">
        <v>26.9</v>
      </c>
      <c r="H344" s="126">
        <f aca="true" t="shared" si="94" ref="H344:H358">G344*2.54</f>
        <v>68.326</v>
      </c>
      <c r="I344" s="97">
        <f aca="true" t="shared" si="95" ref="I344:I358">F344*H344</f>
        <v>7208.392999999999</v>
      </c>
      <c r="J344" s="300">
        <v>0</v>
      </c>
      <c r="K344" s="97">
        <f aca="true" t="shared" si="96" ref="K344:K358">J344*D344</f>
        <v>0</v>
      </c>
      <c r="L344" s="301">
        <f aca="true" t="shared" si="97" ref="L344:L358">G344</f>
        <v>26.9</v>
      </c>
      <c r="M344" s="126">
        <f aca="true" t="shared" si="98" ref="M344:M358">L344*2.54</f>
        <v>68.326</v>
      </c>
      <c r="N344" s="97">
        <f aca="true" t="shared" si="99" ref="N344:N358">K344*M344</f>
        <v>0</v>
      </c>
      <c r="O344" s="302">
        <v>-2.43</v>
      </c>
      <c r="P344" s="126">
        <f aca="true" t="shared" si="100" ref="P344:P358">O344*2.54</f>
        <v>-6.1722</v>
      </c>
      <c r="Q344" s="97">
        <f aca="true" t="shared" si="101" ref="Q344:Q358">F344*P344</f>
        <v>-651.1671</v>
      </c>
      <c r="R344" s="126">
        <f aca="true" t="shared" si="102" ref="R344:R358">K344*P344</f>
        <v>0</v>
      </c>
      <c r="V344" s="97"/>
    </row>
    <row r="345" spans="1:22" s="8" customFormat="1" ht="16.5" customHeight="1">
      <c r="A345" s="10">
        <v>4</v>
      </c>
      <c r="B345" s="8" t="s">
        <v>614</v>
      </c>
      <c r="C345" s="269" t="s">
        <v>592</v>
      </c>
      <c r="D345" s="200">
        <v>1</v>
      </c>
      <c r="E345" s="206">
        <v>18.5</v>
      </c>
      <c r="F345" s="126">
        <f t="shared" si="93"/>
        <v>18.5</v>
      </c>
      <c r="G345" s="299">
        <v>26.8</v>
      </c>
      <c r="H345" s="126">
        <f t="shared" si="94"/>
        <v>68.072</v>
      </c>
      <c r="I345" s="97">
        <f t="shared" si="95"/>
        <v>1259.332</v>
      </c>
      <c r="J345" s="300">
        <v>0</v>
      </c>
      <c r="K345" s="97">
        <f t="shared" si="96"/>
        <v>0</v>
      </c>
      <c r="L345" s="301">
        <f t="shared" si="97"/>
        <v>26.8</v>
      </c>
      <c r="M345" s="126">
        <f t="shared" si="98"/>
        <v>68.072</v>
      </c>
      <c r="N345" s="97">
        <f t="shared" si="99"/>
        <v>0</v>
      </c>
      <c r="O345" s="302">
        <v>-1.51</v>
      </c>
      <c r="P345" s="126">
        <f t="shared" si="100"/>
        <v>-3.8354</v>
      </c>
      <c r="Q345" s="97">
        <f t="shared" si="101"/>
        <v>-70.9549</v>
      </c>
      <c r="R345" s="126">
        <f t="shared" si="102"/>
        <v>0</v>
      </c>
      <c r="V345" s="97"/>
    </row>
    <row r="346" spans="1:22" s="8" customFormat="1" ht="16.5" customHeight="1">
      <c r="A346" s="10">
        <v>4</v>
      </c>
      <c r="B346" s="8" t="s">
        <v>615</v>
      </c>
      <c r="C346" s="103">
        <v>52250</v>
      </c>
      <c r="D346" s="200">
        <v>1</v>
      </c>
      <c r="E346" s="206">
        <v>71.4</v>
      </c>
      <c r="F346" s="126">
        <f t="shared" si="93"/>
        <v>71.4</v>
      </c>
      <c r="G346" s="299">
        <v>26.8</v>
      </c>
      <c r="H346" s="126">
        <f t="shared" si="94"/>
        <v>68.072</v>
      </c>
      <c r="I346" s="97">
        <f t="shared" si="95"/>
        <v>4860.340800000001</v>
      </c>
      <c r="J346" s="300">
        <v>0</v>
      </c>
      <c r="K346" s="97">
        <f t="shared" si="96"/>
        <v>0</v>
      </c>
      <c r="L346" s="301">
        <f t="shared" si="97"/>
        <v>26.8</v>
      </c>
      <c r="M346" s="126">
        <f t="shared" si="98"/>
        <v>68.072</v>
      </c>
      <c r="N346" s="97">
        <f t="shared" si="99"/>
        <v>0</v>
      </c>
      <c r="O346" s="302">
        <v>-1.51</v>
      </c>
      <c r="P346" s="126">
        <f t="shared" si="100"/>
        <v>-3.8354</v>
      </c>
      <c r="Q346" s="97">
        <f t="shared" si="101"/>
        <v>-273.84756000000004</v>
      </c>
      <c r="R346" s="126">
        <f t="shared" si="102"/>
        <v>0</v>
      </c>
      <c r="V346" s="97"/>
    </row>
    <row r="347" spans="1:22" s="8" customFormat="1" ht="16.5" customHeight="1">
      <c r="A347" s="10">
        <v>4</v>
      </c>
      <c r="B347" s="8" t="s">
        <v>616</v>
      </c>
      <c r="C347" s="103">
        <v>49850</v>
      </c>
      <c r="D347" s="200">
        <v>1</v>
      </c>
      <c r="E347" s="206">
        <v>1.4</v>
      </c>
      <c r="F347" s="126">
        <f t="shared" si="93"/>
        <v>1.4</v>
      </c>
      <c r="G347" s="299">
        <v>26.8</v>
      </c>
      <c r="H347" s="126">
        <f t="shared" si="94"/>
        <v>68.072</v>
      </c>
      <c r="I347" s="97">
        <f t="shared" si="95"/>
        <v>95.3008</v>
      </c>
      <c r="J347" s="300">
        <v>0</v>
      </c>
      <c r="K347" s="97">
        <f t="shared" si="96"/>
        <v>0</v>
      </c>
      <c r="L347" s="301">
        <f t="shared" si="97"/>
        <v>26.8</v>
      </c>
      <c r="M347" s="126">
        <f t="shared" si="98"/>
        <v>68.072</v>
      </c>
      <c r="N347" s="97">
        <f t="shared" si="99"/>
        <v>0</v>
      </c>
      <c r="O347" s="302">
        <v>-1.51</v>
      </c>
      <c r="P347" s="126">
        <f t="shared" si="100"/>
        <v>-3.8354</v>
      </c>
      <c r="Q347" s="97">
        <f t="shared" si="101"/>
        <v>-5.36956</v>
      </c>
      <c r="R347" s="126">
        <f t="shared" si="102"/>
        <v>0</v>
      </c>
      <c r="V347" s="97"/>
    </row>
    <row r="348" spans="1:22" s="8" customFormat="1" ht="16.5" customHeight="1">
      <c r="A348" s="10">
        <v>4</v>
      </c>
      <c r="B348" s="8" t="s">
        <v>588</v>
      </c>
      <c r="C348" s="269" t="s">
        <v>589</v>
      </c>
      <c r="D348" s="200">
        <v>1</v>
      </c>
      <c r="E348" s="206">
        <v>0.4</v>
      </c>
      <c r="F348" s="126">
        <f t="shared" si="93"/>
        <v>0.4</v>
      </c>
      <c r="G348" s="299">
        <v>26.8</v>
      </c>
      <c r="H348" s="126">
        <f t="shared" si="94"/>
        <v>68.072</v>
      </c>
      <c r="I348" s="97">
        <f t="shared" si="95"/>
        <v>27.228800000000003</v>
      </c>
      <c r="J348" s="300">
        <v>0</v>
      </c>
      <c r="K348" s="97">
        <f t="shared" si="96"/>
        <v>0</v>
      </c>
      <c r="L348" s="301">
        <f t="shared" si="97"/>
        <v>26.8</v>
      </c>
      <c r="M348" s="126">
        <f t="shared" si="98"/>
        <v>68.072</v>
      </c>
      <c r="N348" s="97">
        <f t="shared" si="99"/>
        <v>0</v>
      </c>
      <c r="O348" s="302">
        <v>-1.51</v>
      </c>
      <c r="P348" s="126">
        <f t="shared" si="100"/>
        <v>-3.8354</v>
      </c>
      <c r="Q348" s="97">
        <f t="shared" si="101"/>
        <v>-1.53416</v>
      </c>
      <c r="R348" s="126">
        <f t="shared" si="102"/>
        <v>0</v>
      </c>
      <c r="V348" s="97"/>
    </row>
    <row r="349" spans="1:22" s="405" customFormat="1" ht="33" customHeight="1">
      <c r="A349" s="406">
        <v>4</v>
      </c>
      <c r="B349" s="405" t="s">
        <v>617</v>
      </c>
      <c r="C349" s="343" t="s">
        <v>618</v>
      </c>
      <c r="D349" s="416">
        <v>1</v>
      </c>
      <c r="E349" s="408">
        <v>1.9</v>
      </c>
      <c r="F349" s="409">
        <f t="shared" si="93"/>
        <v>1.9</v>
      </c>
      <c r="G349" s="410">
        <v>26.8</v>
      </c>
      <c r="H349" s="409">
        <f t="shared" si="94"/>
        <v>68.072</v>
      </c>
      <c r="I349" s="411">
        <f t="shared" si="95"/>
        <v>129.3368</v>
      </c>
      <c r="J349" s="412">
        <v>0</v>
      </c>
      <c r="K349" s="411">
        <f t="shared" si="96"/>
        <v>0</v>
      </c>
      <c r="L349" s="413">
        <f t="shared" si="97"/>
        <v>26.8</v>
      </c>
      <c r="M349" s="409">
        <f t="shared" si="98"/>
        <v>68.072</v>
      </c>
      <c r="N349" s="411">
        <f t="shared" si="99"/>
        <v>0</v>
      </c>
      <c r="O349" s="414">
        <v>-1.51</v>
      </c>
      <c r="P349" s="409">
        <f t="shared" si="100"/>
        <v>-3.8354</v>
      </c>
      <c r="Q349" s="411">
        <f t="shared" si="101"/>
        <v>-7.28726</v>
      </c>
      <c r="R349" s="409">
        <f t="shared" si="102"/>
        <v>0</v>
      </c>
      <c r="V349" s="411"/>
    </row>
    <row r="350" spans="1:22" s="8" customFormat="1" ht="16.5" customHeight="1">
      <c r="A350" s="10">
        <v>4</v>
      </c>
      <c r="B350" s="8" t="s">
        <v>619</v>
      </c>
      <c r="C350" s="269">
        <v>52489</v>
      </c>
      <c r="D350" s="200">
        <v>1</v>
      </c>
      <c r="E350" s="206">
        <v>9.6</v>
      </c>
      <c r="F350" s="126">
        <f t="shared" si="93"/>
        <v>9.6</v>
      </c>
      <c r="G350" s="299">
        <v>26.8</v>
      </c>
      <c r="H350" s="126">
        <f t="shared" si="94"/>
        <v>68.072</v>
      </c>
      <c r="I350" s="97">
        <f t="shared" si="95"/>
        <v>653.4912</v>
      </c>
      <c r="J350" s="300">
        <v>0</v>
      </c>
      <c r="K350" s="97">
        <f t="shared" si="96"/>
        <v>0</v>
      </c>
      <c r="L350" s="301">
        <f t="shared" si="97"/>
        <v>26.8</v>
      </c>
      <c r="M350" s="126">
        <f t="shared" si="98"/>
        <v>68.072</v>
      </c>
      <c r="N350" s="97">
        <f t="shared" si="99"/>
        <v>0</v>
      </c>
      <c r="O350" s="302">
        <v>-1.51</v>
      </c>
      <c r="P350" s="126">
        <f t="shared" si="100"/>
        <v>-3.8354</v>
      </c>
      <c r="Q350" s="97">
        <f t="shared" si="101"/>
        <v>-36.81984</v>
      </c>
      <c r="R350" s="126">
        <f t="shared" si="102"/>
        <v>0</v>
      </c>
      <c r="V350" s="97"/>
    </row>
    <row r="351" spans="1:22" s="8" customFormat="1" ht="16.5" customHeight="1">
      <c r="A351" s="10">
        <v>4</v>
      </c>
      <c r="B351" s="8" t="s">
        <v>599</v>
      </c>
      <c r="C351" s="269" t="s">
        <v>600</v>
      </c>
      <c r="D351" s="200">
        <v>1</v>
      </c>
      <c r="E351" s="206">
        <v>1</v>
      </c>
      <c r="F351" s="126">
        <f t="shared" si="93"/>
        <v>1</v>
      </c>
      <c r="G351" s="299">
        <v>26.8</v>
      </c>
      <c r="H351" s="126">
        <f t="shared" si="94"/>
        <v>68.072</v>
      </c>
      <c r="I351" s="97">
        <f t="shared" si="95"/>
        <v>68.072</v>
      </c>
      <c r="J351" s="300">
        <v>0</v>
      </c>
      <c r="K351" s="97">
        <f t="shared" si="96"/>
        <v>0</v>
      </c>
      <c r="L351" s="301">
        <f t="shared" si="97"/>
        <v>26.8</v>
      </c>
      <c r="M351" s="126">
        <f t="shared" si="98"/>
        <v>68.072</v>
      </c>
      <c r="N351" s="97">
        <f t="shared" si="99"/>
        <v>0</v>
      </c>
      <c r="O351" s="302">
        <v>-1.51</v>
      </c>
      <c r="P351" s="126">
        <f t="shared" si="100"/>
        <v>-3.8354</v>
      </c>
      <c r="Q351" s="97">
        <f t="shared" si="101"/>
        <v>-3.8354</v>
      </c>
      <c r="R351" s="126">
        <f t="shared" si="102"/>
        <v>0</v>
      </c>
      <c r="V351" s="97"/>
    </row>
    <row r="352" spans="1:22" s="8" customFormat="1" ht="16.5" customHeight="1">
      <c r="A352" s="10">
        <v>4</v>
      </c>
      <c r="B352" s="8" t="s">
        <v>620</v>
      </c>
      <c r="C352" s="269">
        <v>49828</v>
      </c>
      <c r="D352" s="200">
        <v>1</v>
      </c>
      <c r="E352" s="206">
        <v>9.6</v>
      </c>
      <c r="F352" s="126">
        <f t="shared" si="93"/>
        <v>9.6</v>
      </c>
      <c r="G352" s="299">
        <v>26.92</v>
      </c>
      <c r="H352" s="126">
        <f t="shared" si="94"/>
        <v>68.3768</v>
      </c>
      <c r="I352" s="97">
        <f t="shared" si="95"/>
        <v>656.41728</v>
      </c>
      <c r="J352" s="300">
        <v>0</v>
      </c>
      <c r="K352" s="97">
        <f t="shared" si="96"/>
        <v>0</v>
      </c>
      <c r="L352" s="301">
        <f t="shared" si="97"/>
        <v>26.92</v>
      </c>
      <c r="M352" s="126">
        <f t="shared" si="98"/>
        <v>68.3768</v>
      </c>
      <c r="N352" s="97">
        <f t="shared" si="99"/>
        <v>0</v>
      </c>
      <c r="O352" s="302">
        <v>-2.62</v>
      </c>
      <c r="P352" s="126">
        <f t="shared" si="100"/>
        <v>-6.654800000000001</v>
      </c>
      <c r="Q352" s="97">
        <f t="shared" si="101"/>
        <v>-63.88608000000001</v>
      </c>
      <c r="R352" s="126">
        <f t="shared" si="102"/>
        <v>0</v>
      </c>
      <c r="V352" s="97"/>
    </row>
    <row r="353" spans="1:22" s="8" customFormat="1" ht="15.75" customHeight="1">
      <c r="A353" s="10">
        <v>4</v>
      </c>
      <c r="B353" s="8" t="s">
        <v>621</v>
      </c>
      <c r="C353" s="269">
        <v>49851</v>
      </c>
      <c r="D353" s="200">
        <v>1</v>
      </c>
      <c r="E353" s="206">
        <v>88</v>
      </c>
      <c r="F353" s="126">
        <f t="shared" si="93"/>
        <v>88</v>
      </c>
      <c r="G353" s="299">
        <v>26.86</v>
      </c>
      <c r="H353" s="126">
        <f t="shared" si="94"/>
        <v>68.2244</v>
      </c>
      <c r="I353" s="97">
        <f t="shared" si="95"/>
        <v>6003.7472</v>
      </c>
      <c r="J353" s="300">
        <v>0</v>
      </c>
      <c r="K353" s="97">
        <f t="shared" si="96"/>
        <v>0</v>
      </c>
      <c r="L353" s="301">
        <f t="shared" si="97"/>
        <v>26.86</v>
      </c>
      <c r="M353" s="126">
        <f t="shared" si="98"/>
        <v>68.2244</v>
      </c>
      <c r="N353" s="97">
        <f t="shared" si="99"/>
        <v>0</v>
      </c>
      <c r="O353" s="302">
        <v>-2.62</v>
      </c>
      <c r="P353" s="126">
        <f t="shared" si="100"/>
        <v>-6.654800000000001</v>
      </c>
      <c r="Q353" s="97">
        <f t="shared" si="101"/>
        <v>-585.6224000000001</v>
      </c>
      <c r="R353" s="126">
        <f t="shared" si="102"/>
        <v>0</v>
      </c>
      <c r="V353" s="97"/>
    </row>
    <row r="354" spans="1:22" s="8" customFormat="1" ht="16.5" customHeight="1">
      <c r="A354" s="10">
        <v>4</v>
      </c>
      <c r="B354" s="8" t="s">
        <v>622</v>
      </c>
      <c r="C354" s="269" t="s">
        <v>623</v>
      </c>
      <c r="D354" s="200">
        <v>1</v>
      </c>
      <c r="E354" s="206">
        <v>0.2</v>
      </c>
      <c r="F354" s="126">
        <f t="shared" si="93"/>
        <v>0.2</v>
      </c>
      <c r="G354" s="299">
        <v>26.92</v>
      </c>
      <c r="H354" s="126">
        <f t="shared" si="94"/>
        <v>68.3768</v>
      </c>
      <c r="I354" s="97">
        <f t="shared" si="95"/>
        <v>13.675360000000001</v>
      </c>
      <c r="J354" s="300">
        <v>0</v>
      </c>
      <c r="K354" s="97">
        <f t="shared" si="96"/>
        <v>0</v>
      </c>
      <c r="L354" s="301">
        <f t="shared" si="97"/>
        <v>26.92</v>
      </c>
      <c r="M354" s="126">
        <f t="shared" si="98"/>
        <v>68.3768</v>
      </c>
      <c r="N354" s="97">
        <f t="shared" si="99"/>
        <v>0</v>
      </c>
      <c r="O354" s="302">
        <v>-2.62</v>
      </c>
      <c r="P354" s="126">
        <f t="shared" si="100"/>
        <v>-6.654800000000001</v>
      </c>
      <c r="Q354" s="97">
        <f t="shared" si="101"/>
        <v>-1.3309600000000001</v>
      </c>
      <c r="R354" s="126">
        <f t="shared" si="102"/>
        <v>0</v>
      </c>
      <c r="V354" s="97"/>
    </row>
    <row r="355" spans="1:22" s="405" customFormat="1" ht="33" customHeight="1">
      <c r="A355" s="406">
        <v>4</v>
      </c>
      <c r="B355" s="405" t="s">
        <v>624</v>
      </c>
      <c r="C355" s="343" t="s">
        <v>625</v>
      </c>
      <c r="D355" s="416">
        <v>1</v>
      </c>
      <c r="E355" s="408">
        <v>1.1</v>
      </c>
      <c r="F355" s="409">
        <f t="shared" si="93"/>
        <v>1.1</v>
      </c>
      <c r="G355" s="410">
        <v>26.92</v>
      </c>
      <c r="H355" s="409">
        <f t="shared" si="94"/>
        <v>68.3768</v>
      </c>
      <c r="I355" s="411">
        <f t="shared" si="95"/>
        <v>75.21448000000001</v>
      </c>
      <c r="J355" s="412">
        <v>0</v>
      </c>
      <c r="K355" s="411">
        <f t="shared" si="96"/>
        <v>0</v>
      </c>
      <c r="L355" s="413">
        <f t="shared" si="97"/>
        <v>26.92</v>
      </c>
      <c r="M355" s="409">
        <f t="shared" si="98"/>
        <v>68.3768</v>
      </c>
      <c r="N355" s="411">
        <f t="shared" si="99"/>
        <v>0</v>
      </c>
      <c r="O355" s="414">
        <v>-2.62</v>
      </c>
      <c r="P355" s="409">
        <f t="shared" si="100"/>
        <v>-6.654800000000001</v>
      </c>
      <c r="Q355" s="411">
        <f t="shared" si="101"/>
        <v>-7.320280000000001</v>
      </c>
      <c r="R355" s="409">
        <f t="shared" si="102"/>
        <v>0</v>
      </c>
      <c r="V355" s="411"/>
    </row>
    <row r="356" spans="1:22" s="8" customFormat="1" ht="15.75" customHeight="1">
      <c r="A356" s="10">
        <v>4</v>
      </c>
      <c r="B356" s="8" t="s">
        <v>626</v>
      </c>
      <c r="C356" s="269">
        <v>49872</v>
      </c>
      <c r="D356" s="200">
        <v>1</v>
      </c>
      <c r="E356" s="206">
        <v>10.4</v>
      </c>
      <c r="F356" s="126">
        <f t="shared" si="93"/>
        <v>10.4</v>
      </c>
      <c r="G356" s="299">
        <v>27.64</v>
      </c>
      <c r="H356" s="126">
        <f t="shared" si="94"/>
        <v>70.2056</v>
      </c>
      <c r="I356" s="97">
        <f t="shared" si="95"/>
        <v>730.1382400000001</v>
      </c>
      <c r="J356" s="300">
        <v>0</v>
      </c>
      <c r="K356" s="97">
        <f t="shared" si="96"/>
        <v>0</v>
      </c>
      <c r="L356" s="301">
        <f t="shared" si="97"/>
        <v>27.64</v>
      </c>
      <c r="M356" s="126">
        <f t="shared" si="98"/>
        <v>70.2056</v>
      </c>
      <c r="N356" s="97">
        <f t="shared" si="99"/>
        <v>0</v>
      </c>
      <c r="O356" s="302">
        <v>-2.66</v>
      </c>
      <c r="P356" s="126">
        <f t="shared" si="100"/>
        <v>-6.7564</v>
      </c>
      <c r="Q356" s="97">
        <f t="shared" si="101"/>
        <v>-70.26656</v>
      </c>
      <c r="R356" s="126">
        <f t="shared" si="102"/>
        <v>0</v>
      </c>
      <c r="V356" s="97"/>
    </row>
    <row r="357" spans="1:22" s="8" customFormat="1" ht="15.75" customHeight="1">
      <c r="A357" s="10">
        <v>4</v>
      </c>
      <c r="B357" s="8" t="s">
        <v>627</v>
      </c>
      <c r="C357" s="103">
        <v>55274</v>
      </c>
      <c r="D357" s="200">
        <v>1</v>
      </c>
      <c r="E357" s="206">
        <v>0.1</v>
      </c>
      <c r="F357" s="126">
        <f t="shared" si="93"/>
        <v>0.1</v>
      </c>
      <c r="G357" s="299">
        <v>27.64</v>
      </c>
      <c r="H357" s="126">
        <f t="shared" si="94"/>
        <v>70.2056</v>
      </c>
      <c r="I357" s="97">
        <f t="shared" si="95"/>
        <v>7.020560000000001</v>
      </c>
      <c r="J357" s="300">
        <v>0</v>
      </c>
      <c r="K357" s="97">
        <f t="shared" si="96"/>
        <v>0</v>
      </c>
      <c r="L357" s="301">
        <f t="shared" si="97"/>
        <v>27.64</v>
      </c>
      <c r="M357" s="126">
        <f t="shared" si="98"/>
        <v>70.2056</v>
      </c>
      <c r="N357" s="97">
        <f t="shared" si="99"/>
        <v>0</v>
      </c>
      <c r="O357" s="302">
        <v>-2.66</v>
      </c>
      <c r="P357" s="126">
        <f t="shared" si="100"/>
        <v>-6.7564</v>
      </c>
      <c r="Q357" s="97">
        <f t="shared" si="101"/>
        <v>-0.67564</v>
      </c>
      <c r="R357" s="126">
        <f t="shared" si="102"/>
        <v>0</v>
      </c>
      <c r="V357" s="97"/>
    </row>
    <row r="358" spans="1:22" s="8" customFormat="1" ht="15.75" customHeight="1">
      <c r="A358" s="10">
        <v>4</v>
      </c>
      <c r="B358" s="8" t="s">
        <v>628</v>
      </c>
      <c r="C358" s="103">
        <v>52251</v>
      </c>
      <c r="D358" s="200">
        <v>1</v>
      </c>
      <c r="E358" s="206">
        <v>30.5</v>
      </c>
      <c r="F358" s="126">
        <f t="shared" si="93"/>
        <v>30.5</v>
      </c>
      <c r="G358" s="299">
        <v>27.25</v>
      </c>
      <c r="H358" s="126">
        <f t="shared" si="94"/>
        <v>69.215</v>
      </c>
      <c r="I358" s="97">
        <f t="shared" si="95"/>
        <v>2111.0575</v>
      </c>
      <c r="J358" s="300">
        <v>0</v>
      </c>
      <c r="K358" s="97">
        <f t="shared" si="96"/>
        <v>0</v>
      </c>
      <c r="L358" s="301">
        <f t="shared" si="97"/>
        <v>27.25</v>
      </c>
      <c r="M358" s="126">
        <f t="shared" si="98"/>
        <v>69.215</v>
      </c>
      <c r="N358" s="97">
        <f t="shared" si="99"/>
        <v>0</v>
      </c>
      <c r="O358" s="302">
        <v>-2.43</v>
      </c>
      <c r="P358" s="126">
        <f t="shared" si="100"/>
        <v>-6.1722</v>
      </c>
      <c r="Q358" s="97">
        <f t="shared" si="101"/>
        <v>-188.2521</v>
      </c>
      <c r="R358" s="126">
        <f t="shared" si="102"/>
        <v>0</v>
      </c>
      <c r="V358" s="97"/>
    </row>
    <row r="359" spans="1:22" s="8" customFormat="1" ht="16.5" customHeight="1">
      <c r="A359" s="344"/>
      <c r="B359" s="349"/>
      <c r="C359" s="417"/>
      <c r="D359" s="374"/>
      <c r="E359" s="375"/>
      <c r="F359" s="376"/>
      <c r="G359" s="377"/>
      <c r="H359" s="376"/>
      <c r="I359" s="378"/>
      <c r="J359" s="418"/>
      <c r="K359" s="378"/>
      <c r="L359" s="380"/>
      <c r="M359" s="376"/>
      <c r="N359" s="378"/>
      <c r="O359" s="381"/>
      <c r="P359" s="376"/>
      <c r="Q359" s="378"/>
      <c r="R359" s="376"/>
      <c r="V359" s="97"/>
    </row>
    <row r="360" spans="1:22" s="98" customFormat="1" ht="16.5" customHeight="1">
      <c r="A360" s="179">
        <v>2</v>
      </c>
      <c r="B360" s="223" t="s">
        <v>629</v>
      </c>
      <c r="C360" s="419" t="s">
        <v>536</v>
      </c>
      <c r="D360" s="420"/>
      <c r="E360" s="309"/>
      <c r="F360" s="117"/>
      <c r="G360" s="421"/>
      <c r="H360" s="117"/>
      <c r="I360" s="114"/>
      <c r="J360" s="320"/>
      <c r="K360" s="114"/>
      <c r="L360" s="422"/>
      <c r="M360" s="117"/>
      <c r="N360" s="114"/>
      <c r="O360" s="302"/>
      <c r="P360" s="117"/>
      <c r="Q360" s="114"/>
      <c r="R360" s="117"/>
      <c r="V360" s="114"/>
    </row>
    <row r="361" spans="1:22" s="8" customFormat="1" ht="16.5" customHeight="1">
      <c r="A361" s="10"/>
      <c r="B361" s="210" t="s">
        <v>218</v>
      </c>
      <c r="C361" s="291">
        <f>SUM(F364:F375)</f>
        <v>3201.4</v>
      </c>
      <c r="D361" s="196" t="s">
        <v>126</v>
      </c>
      <c r="E361" s="322" t="s">
        <v>312</v>
      </c>
      <c r="F361" s="10"/>
      <c r="G361" s="421"/>
      <c r="H361" s="117"/>
      <c r="I361" s="385"/>
      <c r="J361" s="320"/>
      <c r="K361" s="204"/>
      <c r="L361" s="422"/>
      <c r="M361" s="117"/>
      <c r="N361" s="114"/>
      <c r="O361" s="302"/>
      <c r="P361" s="117"/>
      <c r="Q361" s="114"/>
      <c r="R361" s="126"/>
      <c r="V361" s="97"/>
    </row>
    <row r="362" spans="1:22" s="8" customFormat="1" ht="16.5" customHeight="1">
      <c r="A362" s="10"/>
      <c r="B362" s="210" t="s">
        <v>207</v>
      </c>
      <c r="C362" s="303">
        <v>3222.7</v>
      </c>
      <c r="D362" s="305" t="s">
        <v>126</v>
      </c>
      <c r="E362" s="333">
        <f>C362-C361</f>
        <v>21.299999999999727</v>
      </c>
      <c r="F362" s="10"/>
      <c r="G362" s="421"/>
      <c r="H362" s="117"/>
      <c r="I362" s="385"/>
      <c r="J362" s="320"/>
      <c r="K362" s="204"/>
      <c r="L362" s="422"/>
      <c r="M362" s="117"/>
      <c r="N362" s="114"/>
      <c r="O362" s="302"/>
      <c r="P362" s="117"/>
      <c r="Q362" s="114"/>
      <c r="R362" s="126"/>
      <c r="V362" s="97"/>
    </row>
    <row r="363" spans="1:22" s="8" customFormat="1" ht="16.5" customHeight="1">
      <c r="A363" s="10"/>
      <c r="B363" s="210"/>
      <c r="C363" s="303"/>
      <c r="D363" s="305"/>
      <c r="E363" s="333"/>
      <c r="F363" s="10"/>
      <c r="G363" s="421"/>
      <c r="H363" s="117"/>
      <c r="I363" s="385"/>
      <c r="J363" s="320"/>
      <c r="K363" s="204"/>
      <c r="L363" s="422"/>
      <c r="M363" s="117"/>
      <c r="N363" s="114"/>
      <c r="O363" s="302"/>
      <c r="P363" s="117"/>
      <c r="Q363" s="114"/>
      <c r="R363" s="126"/>
      <c r="V363" s="97"/>
    </row>
    <row r="364" spans="1:22" s="8" customFormat="1" ht="16.5" customHeight="1">
      <c r="A364" s="10">
        <v>3</v>
      </c>
      <c r="B364" s="266" t="s">
        <v>630</v>
      </c>
      <c r="C364" s="103">
        <v>49846</v>
      </c>
      <c r="D364" s="200">
        <v>1</v>
      </c>
      <c r="E364" s="206">
        <v>64.3</v>
      </c>
      <c r="F364" s="126">
        <f aca="true" t="shared" si="103" ref="F364:F375">E364*D364</f>
        <v>64.3</v>
      </c>
      <c r="G364" s="299">
        <v>23.507</v>
      </c>
      <c r="H364" s="126">
        <f aca="true" t="shared" si="104" ref="H364:H375">G364*2.54</f>
        <v>59.70778000000001</v>
      </c>
      <c r="I364" s="97">
        <f aca="true" t="shared" si="105" ref="I364:I375">F364*H364</f>
        <v>3839.210254</v>
      </c>
      <c r="J364" s="300">
        <v>0</v>
      </c>
      <c r="K364" s="97">
        <f aca="true" t="shared" si="106" ref="K364:K375">J364*D364</f>
        <v>0</v>
      </c>
      <c r="L364" s="301">
        <f aca="true" t="shared" si="107" ref="L364:L375">G364</f>
        <v>23.507</v>
      </c>
      <c r="M364" s="126">
        <f aca="true" t="shared" si="108" ref="M364:M375">L364*2.54</f>
        <v>59.70778000000001</v>
      </c>
      <c r="N364" s="97">
        <f aca="true" t="shared" si="109" ref="N364:N375">K364*M364</f>
        <v>0</v>
      </c>
      <c r="O364" s="302">
        <v>0</v>
      </c>
      <c r="P364" s="126">
        <f aca="true" t="shared" si="110" ref="P364:P375">O364*2.54</f>
        <v>0</v>
      </c>
      <c r="Q364" s="97">
        <f aca="true" t="shared" si="111" ref="Q364:Q375">F364*P364</f>
        <v>0</v>
      </c>
      <c r="R364" s="126">
        <f aca="true" t="shared" si="112" ref="R364:R375">K364*P364</f>
        <v>0</v>
      </c>
      <c r="V364" s="97"/>
    </row>
    <row r="365" spans="1:22" s="8" customFormat="1" ht="16.5" customHeight="1">
      <c r="A365" s="10">
        <v>3</v>
      </c>
      <c r="B365" s="266" t="s">
        <v>774</v>
      </c>
      <c r="C365" s="103">
        <v>52379</v>
      </c>
      <c r="D365" s="200">
        <v>1</v>
      </c>
      <c r="E365" s="206">
        <v>64.4</v>
      </c>
      <c r="F365" s="126">
        <f t="shared" si="103"/>
        <v>64.4</v>
      </c>
      <c r="G365" s="299">
        <v>23.507</v>
      </c>
      <c r="H365" s="126">
        <f t="shared" si="104"/>
        <v>59.70778000000001</v>
      </c>
      <c r="I365" s="97">
        <f t="shared" si="105"/>
        <v>3845.181032000001</v>
      </c>
      <c r="J365" s="300">
        <v>0</v>
      </c>
      <c r="K365" s="97">
        <f t="shared" si="106"/>
        <v>0</v>
      </c>
      <c r="L365" s="301">
        <f t="shared" si="107"/>
        <v>23.507</v>
      </c>
      <c r="M365" s="126">
        <f t="shared" si="108"/>
        <v>59.70778000000001</v>
      </c>
      <c r="N365" s="97">
        <f t="shared" si="109"/>
        <v>0</v>
      </c>
      <c r="O365" s="302">
        <v>0</v>
      </c>
      <c r="P365" s="126">
        <f t="shared" si="110"/>
        <v>0</v>
      </c>
      <c r="Q365" s="97">
        <f t="shared" si="111"/>
        <v>0</v>
      </c>
      <c r="R365" s="126">
        <f t="shared" si="112"/>
        <v>0</v>
      </c>
      <c r="V365" s="97"/>
    </row>
    <row r="366" spans="1:22" s="105" customFormat="1" ht="33.75" customHeight="1">
      <c r="A366" s="103">
        <v>3</v>
      </c>
      <c r="B366" s="265" t="s">
        <v>775</v>
      </c>
      <c r="C366" s="423" t="s">
        <v>776</v>
      </c>
      <c r="D366" s="200">
        <v>1</v>
      </c>
      <c r="E366" s="206">
        <v>267.1</v>
      </c>
      <c r="F366" s="207">
        <f t="shared" si="103"/>
        <v>267.1</v>
      </c>
      <c r="G366" s="228">
        <v>21.5</v>
      </c>
      <c r="H366" s="207">
        <f t="shared" si="104"/>
        <v>54.61</v>
      </c>
      <c r="I366" s="128">
        <f t="shared" si="105"/>
        <v>14586.331000000002</v>
      </c>
      <c r="J366" s="300">
        <v>0</v>
      </c>
      <c r="K366" s="128">
        <f t="shared" si="106"/>
        <v>0</v>
      </c>
      <c r="L366" s="230">
        <f t="shared" si="107"/>
        <v>21.5</v>
      </c>
      <c r="M366" s="207">
        <f t="shared" si="108"/>
        <v>54.61</v>
      </c>
      <c r="N366" s="97">
        <f t="shared" si="109"/>
        <v>0</v>
      </c>
      <c r="O366" s="209">
        <v>0.7</v>
      </c>
      <c r="P366" s="207">
        <f t="shared" si="110"/>
        <v>1.7779999999999998</v>
      </c>
      <c r="Q366" s="128">
        <f t="shared" si="111"/>
        <v>474.9038</v>
      </c>
      <c r="R366" s="207">
        <f t="shared" si="112"/>
        <v>0</v>
      </c>
      <c r="V366" s="128"/>
    </row>
    <row r="367" spans="1:22" s="8" customFormat="1" ht="16.5" customHeight="1">
      <c r="A367" s="10">
        <v>3</v>
      </c>
      <c r="B367" s="112" t="s">
        <v>777</v>
      </c>
      <c r="C367" s="269" t="s">
        <v>778</v>
      </c>
      <c r="D367" s="200">
        <v>1</v>
      </c>
      <c r="E367" s="206">
        <v>3.8</v>
      </c>
      <c r="F367" s="126">
        <f t="shared" si="103"/>
        <v>3.8</v>
      </c>
      <c r="G367" s="299">
        <v>21.73</v>
      </c>
      <c r="H367" s="126">
        <f t="shared" si="104"/>
        <v>55.1942</v>
      </c>
      <c r="I367" s="97">
        <f t="shared" si="105"/>
        <v>209.73796</v>
      </c>
      <c r="J367" s="300">
        <v>0</v>
      </c>
      <c r="K367" s="97">
        <f t="shared" si="106"/>
        <v>0</v>
      </c>
      <c r="L367" s="301">
        <f t="shared" si="107"/>
        <v>21.73</v>
      </c>
      <c r="M367" s="126">
        <f t="shared" si="108"/>
        <v>55.1942</v>
      </c>
      <c r="N367" s="97">
        <f t="shared" si="109"/>
        <v>0</v>
      </c>
      <c r="O367" s="302">
        <v>0.44</v>
      </c>
      <c r="P367" s="126">
        <f t="shared" si="110"/>
        <v>1.1176</v>
      </c>
      <c r="Q367" s="97">
        <f t="shared" si="111"/>
        <v>4.246879999999999</v>
      </c>
      <c r="R367" s="126">
        <f t="shared" si="112"/>
        <v>0</v>
      </c>
      <c r="V367" s="97"/>
    </row>
    <row r="368" spans="1:22" s="8" customFormat="1" ht="16.5" customHeight="1">
      <c r="A368" s="10">
        <v>3</v>
      </c>
      <c r="B368" s="266" t="s">
        <v>779</v>
      </c>
      <c r="C368" s="269" t="s">
        <v>780</v>
      </c>
      <c r="D368" s="200">
        <v>1</v>
      </c>
      <c r="E368" s="206">
        <v>4.5</v>
      </c>
      <c r="F368" s="126">
        <f t="shared" si="103"/>
        <v>4.5</v>
      </c>
      <c r="G368" s="299">
        <v>21.5</v>
      </c>
      <c r="H368" s="126">
        <f t="shared" si="104"/>
        <v>54.61</v>
      </c>
      <c r="I368" s="97">
        <f t="shared" si="105"/>
        <v>245.745</v>
      </c>
      <c r="J368" s="300">
        <v>0</v>
      </c>
      <c r="K368" s="97">
        <f t="shared" si="106"/>
        <v>0</v>
      </c>
      <c r="L368" s="301">
        <f t="shared" si="107"/>
        <v>21.5</v>
      </c>
      <c r="M368" s="126">
        <f t="shared" si="108"/>
        <v>54.61</v>
      </c>
      <c r="N368" s="97">
        <f t="shared" si="109"/>
        <v>0</v>
      </c>
      <c r="O368" s="302">
        <v>0.5</v>
      </c>
      <c r="P368" s="126">
        <f t="shared" si="110"/>
        <v>1.27</v>
      </c>
      <c r="Q368" s="97">
        <f t="shared" si="111"/>
        <v>5.715</v>
      </c>
      <c r="R368" s="126">
        <f t="shared" si="112"/>
        <v>0</v>
      </c>
      <c r="V368" s="97"/>
    </row>
    <row r="369" spans="1:22" s="105" customFormat="1" ht="63" customHeight="1">
      <c r="A369" s="248">
        <v>3</v>
      </c>
      <c r="B369" s="265" t="s">
        <v>781</v>
      </c>
      <c r="C369" s="248">
        <v>52257</v>
      </c>
      <c r="D369" s="200">
        <v>1</v>
      </c>
      <c r="E369" s="206">
        <v>554.8</v>
      </c>
      <c r="F369" s="207">
        <f t="shared" si="103"/>
        <v>554.8</v>
      </c>
      <c r="G369" s="228">
        <v>21.5</v>
      </c>
      <c r="H369" s="207">
        <f t="shared" si="104"/>
        <v>54.61</v>
      </c>
      <c r="I369" s="128">
        <f t="shared" si="105"/>
        <v>30297.627999999997</v>
      </c>
      <c r="J369" s="300">
        <v>0</v>
      </c>
      <c r="K369" s="128">
        <f t="shared" si="106"/>
        <v>0</v>
      </c>
      <c r="L369" s="230">
        <f t="shared" si="107"/>
        <v>21.5</v>
      </c>
      <c r="M369" s="207">
        <f t="shared" si="108"/>
        <v>54.61</v>
      </c>
      <c r="N369" s="97">
        <f t="shared" si="109"/>
        <v>0</v>
      </c>
      <c r="O369" s="209">
        <v>-0.43</v>
      </c>
      <c r="P369" s="207">
        <f t="shared" si="110"/>
        <v>-1.0922</v>
      </c>
      <c r="Q369" s="128">
        <f t="shared" si="111"/>
        <v>-605.95256</v>
      </c>
      <c r="R369" s="207">
        <f t="shared" si="112"/>
        <v>0</v>
      </c>
      <c r="V369" s="128"/>
    </row>
    <row r="370" spans="1:22" s="8" customFormat="1" ht="16.5" customHeight="1">
      <c r="A370" s="10">
        <v>3</v>
      </c>
      <c r="B370" s="266" t="s">
        <v>782</v>
      </c>
      <c r="C370" s="269" t="s">
        <v>780</v>
      </c>
      <c r="D370" s="200">
        <v>1</v>
      </c>
      <c r="E370" s="206">
        <v>4.6</v>
      </c>
      <c r="F370" s="126">
        <f t="shared" si="103"/>
        <v>4.6</v>
      </c>
      <c r="G370" s="299">
        <v>21.48</v>
      </c>
      <c r="H370" s="126">
        <f t="shared" si="104"/>
        <v>54.559200000000004</v>
      </c>
      <c r="I370" s="97">
        <f t="shared" si="105"/>
        <v>250.97232</v>
      </c>
      <c r="J370" s="300">
        <v>0</v>
      </c>
      <c r="K370" s="97">
        <f t="shared" si="106"/>
        <v>0</v>
      </c>
      <c r="L370" s="301">
        <f t="shared" si="107"/>
        <v>21.48</v>
      </c>
      <c r="M370" s="126">
        <f t="shared" si="108"/>
        <v>54.559200000000004</v>
      </c>
      <c r="N370" s="97">
        <f t="shared" si="109"/>
        <v>0</v>
      </c>
      <c r="O370" s="302">
        <v>-0.43</v>
      </c>
      <c r="P370" s="126">
        <f t="shared" si="110"/>
        <v>-1.0922</v>
      </c>
      <c r="Q370" s="97">
        <f t="shared" si="111"/>
        <v>-5.02412</v>
      </c>
      <c r="R370" s="126">
        <f t="shared" si="112"/>
        <v>0</v>
      </c>
      <c r="V370" s="97"/>
    </row>
    <row r="371" spans="1:27" s="310" customFormat="1" ht="49.5" customHeight="1">
      <c r="A371" s="248">
        <v>3</v>
      </c>
      <c r="B371" s="265" t="s">
        <v>783</v>
      </c>
      <c r="C371" s="248">
        <v>52324</v>
      </c>
      <c r="D371" s="200">
        <v>1</v>
      </c>
      <c r="E371" s="206">
        <v>282.4</v>
      </c>
      <c r="F371" s="126">
        <f t="shared" si="103"/>
        <v>282.4</v>
      </c>
      <c r="G371" s="228">
        <v>21.6</v>
      </c>
      <c r="H371" s="207">
        <f t="shared" si="104"/>
        <v>54.864000000000004</v>
      </c>
      <c r="I371" s="128">
        <f t="shared" si="105"/>
        <v>15493.5936</v>
      </c>
      <c r="J371" s="300">
        <v>0</v>
      </c>
      <c r="K371" s="128">
        <f t="shared" si="106"/>
        <v>0</v>
      </c>
      <c r="L371" s="230">
        <f t="shared" si="107"/>
        <v>21.6</v>
      </c>
      <c r="M371" s="207">
        <f t="shared" si="108"/>
        <v>54.864000000000004</v>
      </c>
      <c r="N371" s="97">
        <f t="shared" si="109"/>
        <v>0</v>
      </c>
      <c r="O371" s="209">
        <v>1.9</v>
      </c>
      <c r="P371" s="207">
        <f t="shared" si="110"/>
        <v>4.826</v>
      </c>
      <c r="Q371" s="128">
        <f t="shared" si="111"/>
        <v>1362.8623999999998</v>
      </c>
      <c r="R371" s="207">
        <f t="shared" si="112"/>
        <v>0</v>
      </c>
      <c r="S371" s="105"/>
      <c r="T371" s="105"/>
      <c r="U371" s="105"/>
      <c r="V371" s="311"/>
      <c r="W371" s="105"/>
      <c r="X371" s="105"/>
      <c r="Z371" s="105"/>
      <c r="AA371" s="105"/>
    </row>
    <row r="372" spans="1:22" s="105" customFormat="1" ht="16.5" customHeight="1">
      <c r="A372" s="103">
        <v>3</v>
      </c>
      <c r="B372" s="266" t="s">
        <v>784</v>
      </c>
      <c r="C372" s="269" t="s">
        <v>785</v>
      </c>
      <c r="D372" s="200">
        <v>1</v>
      </c>
      <c r="E372" s="206">
        <v>3.5</v>
      </c>
      <c r="F372" s="126">
        <f t="shared" si="103"/>
        <v>3.5</v>
      </c>
      <c r="G372" s="228">
        <v>20.77</v>
      </c>
      <c r="H372" s="207">
        <f t="shared" si="104"/>
        <v>52.7558</v>
      </c>
      <c r="I372" s="128">
        <f t="shared" si="105"/>
        <v>184.6453</v>
      </c>
      <c r="J372" s="300">
        <v>0</v>
      </c>
      <c r="K372" s="128">
        <f t="shared" si="106"/>
        <v>0</v>
      </c>
      <c r="L372" s="230">
        <f t="shared" si="107"/>
        <v>20.77</v>
      </c>
      <c r="M372" s="207">
        <f t="shared" si="108"/>
        <v>52.7558</v>
      </c>
      <c r="N372" s="97">
        <f t="shared" si="109"/>
        <v>0</v>
      </c>
      <c r="O372" s="209">
        <v>0.29</v>
      </c>
      <c r="P372" s="207">
        <f t="shared" si="110"/>
        <v>0.7365999999999999</v>
      </c>
      <c r="Q372" s="128">
        <f t="shared" si="111"/>
        <v>2.5780999999999996</v>
      </c>
      <c r="R372" s="207">
        <f t="shared" si="112"/>
        <v>0</v>
      </c>
      <c r="V372" s="128"/>
    </row>
    <row r="373" spans="1:22" s="8" customFormat="1" ht="16.5" customHeight="1">
      <c r="A373" s="10">
        <v>3</v>
      </c>
      <c r="B373" s="266" t="s">
        <v>786</v>
      </c>
      <c r="C373" s="269" t="s">
        <v>787</v>
      </c>
      <c r="D373" s="200">
        <v>1</v>
      </c>
      <c r="E373" s="206">
        <v>1872.5</v>
      </c>
      <c r="F373" s="126">
        <f t="shared" si="103"/>
        <v>1872.5</v>
      </c>
      <c r="G373" s="299">
        <v>21.6</v>
      </c>
      <c r="H373" s="126">
        <f t="shared" si="104"/>
        <v>54.864000000000004</v>
      </c>
      <c r="I373" s="97">
        <f t="shared" si="105"/>
        <v>102732.84000000001</v>
      </c>
      <c r="J373" s="300">
        <v>0</v>
      </c>
      <c r="K373" s="97">
        <f t="shared" si="106"/>
        <v>0</v>
      </c>
      <c r="L373" s="301">
        <f t="shared" si="107"/>
        <v>21.6</v>
      </c>
      <c r="M373" s="126">
        <f t="shared" si="108"/>
        <v>54.864000000000004</v>
      </c>
      <c r="N373" s="97">
        <f t="shared" si="109"/>
        <v>0</v>
      </c>
      <c r="O373" s="302">
        <v>-1.81</v>
      </c>
      <c r="P373" s="126">
        <f t="shared" si="110"/>
        <v>-4.5974</v>
      </c>
      <c r="Q373" s="97">
        <f t="shared" si="111"/>
        <v>-8608.631500000001</v>
      </c>
      <c r="R373" s="126">
        <f t="shared" si="112"/>
        <v>0</v>
      </c>
      <c r="V373" s="97"/>
    </row>
    <row r="374" spans="1:27" s="194" customFormat="1" ht="16.5" customHeight="1">
      <c r="A374" s="101">
        <v>3</v>
      </c>
      <c r="B374" s="266" t="s">
        <v>648</v>
      </c>
      <c r="C374" s="269">
        <v>49847</v>
      </c>
      <c r="D374" s="200">
        <v>1</v>
      </c>
      <c r="E374" s="206">
        <v>74.2</v>
      </c>
      <c r="F374" s="126">
        <f t="shared" si="103"/>
        <v>74.2</v>
      </c>
      <c r="G374" s="299">
        <v>21.6</v>
      </c>
      <c r="H374" s="126">
        <f t="shared" si="104"/>
        <v>54.864000000000004</v>
      </c>
      <c r="I374" s="97">
        <f t="shared" si="105"/>
        <v>4070.9088000000006</v>
      </c>
      <c r="J374" s="300">
        <v>0</v>
      </c>
      <c r="K374" s="97">
        <f t="shared" si="106"/>
        <v>0</v>
      </c>
      <c r="L374" s="301">
        <f t="shared" si="107"/>
        <v>21.6</v>
      </c>
      <c r="M374" s="126">
        <f t="shared" si="108"/>
        <v>54.864000000000004</v>
      </c>
      <c r="N374" s="97">
        <f t="shared" si="109"/>
        <v>0</v>
      </c>
      <c r="O374" s="302">
        <v>-1.64</v>
      </c>
      <c r="P374" s="126">
        <f t="shared" si="110"/>
        <v>-4.1655999999999995</v>
      </c>
      <c r="Q374" s="97">
        <f t="shared" si="111"/>
        <v>-309.08752</v>
      </c>
      <c r="R374" s="126">
        <f t="shared" si="112"/>
        <v>0</v>
      </c>
      <c r="S374" s="8"/>
      <c r="T374" s="8"/>
      <c r="U374" s="8"/>
      <c r="V374" s="195"/>
      <c r="W374" s="8"/>
      <c r="X374" s="8"/>
      <c r="Z374" s="8"/>
      <c r="AA374" s="8"/>
    </row>
    <row r="375" spans="1:22" s="8" customFormat="1" ht="16.5" customHeight="1">
      <c r="A375" s="10">
        <v>3</v>
      </c>
      <c r="B375" s="266" t="s">
        <v>649</v>
      </c>
      <c r="C375" s="269" t="s">
        <v>785</v>
      </c>
      <c r="D375" s="200">
        <v>1</v>
      </c>
      <c r="E375" s="206">
        <v>5.3</v>
      </c>
      <c r="F375" s="126">
        <f t="shared" si="103"/>
        <v>5.3</v>
      </c>
      <c r="G375" s="299">
        <v>21.78</v>
      </c>
      <c r="H375" s="126">
        <f t="shared" si="104"/>
        <v>55.321200000000005</v>
      </c>
      <c r="I375" s="97">
        <f t="shared" si="105"/>
        <v>293.20236</v>
      </c>
      <c r="J375" s="300">
        <v>0</v>
      </c>
      <c r="K375" s="97">
        <f t="shared" si="106"/>
        <v>0</v>
      </c>
      <c r="L375" s="301">
        <f t="shared" si="107"/>
        <v>21.78</v>
      </c>
      <c r="M375" s="126">
        <f t="shared" si="108"/>
        <v>55.321200000000005</v>
      </c>
      <c r="N375" s="97">
        <f t="shared" si="109"/>
        <v>0</v>
      </c>
      <c r="O375" s="302">
        <v>-0.25</v>
      </c>
      <c r="P375" s="126">
        <f t="shared" si="110"/>
        <v>-0.635</v>
      </c>
      <c r="Q375" s="97">
        <f t="shared" si="111"/>
        <v>-3.3655</v>
      </c>
      <c r="R375" s="126">
        <f t="shared" si="112"/>
        <v>0</v>
      </c>
      <c r="V375" s="97"/>
    </row>
    <row r="376" spans="1:22" s="8" customFormat="1" ht="16.5" customHeight="1">
      <c r="A376" s="344"/>
      <c r="B376" s="373"/>
      <c r="C376" s="344"/>
      <c r="D376" s="374"/>
      <c r="E376" s="375"/>
      <c r="F376" s="376"/>
      <c r="G376" s="377"/>
      <c r="H376" s="376"/>
      <c r="I376" s="378"/>
      <c r="J376" s="379"/>
      <c r="K376" s="378"/>
      <c r="L376" s="380"/>
      <c r="M376" s="376"/>
      <c r="N376" s="378"/>
      <c r="O376" s="381"/>
      <c r="P376" s="376"/>
      <c r="Q376" s="378"/>
      <c r="R376" s="376"/>
      <c r="V376" s="97"/>
    </row>
    <row r="377" spans="1:22" s="8" customFormat="1" ht="16.5" customHeight="1">
      <c r="A377" s="101">
        <v>2</v>
      </c>
      <c r="B377" s="223" t="s">
        <v>650</v>
      </c>
      <c r="C377" s="204">
        <v>49878</v>
      </c>
      <c r="D377" s="182"/>
      <c r="E377" s="332"/>
      <c r="F377" s="117"/>
      <c r="G377" s="382"/>
      <c r="H377" s="117"/>
      <c r="I377" s="114"/>
      <c r="J377" s="288"/>
      <c r="K377" s="204"/>
      <c r="L377" s="422"/>
      <c r="M377" s="117"/>
      <c r="N377" s="204"/>
      <c r="O377" s="175"/>
      <c r="P377" s="98"/>
      <c r="Q377" s="98"/>
      <c r="R377" s="193"/>
      <c r="V377" s="97"/>
    </row>
    <row r="378" spans="1:22" s="8" customFormat="1" ht="16.5" customHeight="1">
      <c r="A378" s="10"/>
      <c r="B378" s="210" t="s">
        <v>218</v>
      </c>
      <c r="C378" s="291">
        <f>SUM(F380:F387)</f>
        <v>8056.200000000001</v>
      </c>
      <c r="D378" s="196" t="s">
        <v>126</v>
      </c>
      <c r="E378" s="322" t="s">
        <v>312</v>
      </c>
      <c r="F378" s="117"/>
      <c r="G378" s="382"/>
      <c r="H378" s="117"/>
      <c r="J378" s="288"/>
      <c r="L378" s="422"/>
      <c r="M378" s="117"/>
      <c r="N378" s="204"/>
      <c r="O378" s="175"/>
      <c r="P378" s="98"/>
      <c r="Q378" s="98"/>
      <c r="R378" s="193"/>
      <c r="V378" s="97"/>
    </row>
    <row r="379" spans="1:33" s="8" customFormat="1" ht="16.5" customHeight="1">
      <c r="A379" s="10"/>
      <c r="B379" s="210" t="s">
        <v>207</v>
      </c>
      <c r="C379" s="384">
        <v>8057</v>
      </c>
      <c r="D379" s="196" t="s">
        <v>126</v>
      </c>
      <c r="E379" s="333">
        <f>C379-C378</f>
        <v>0.7999999999992724</v>
      </c>
      <c r="I379" s="424"/>
      <c r="O379" s="175"/>
      <c r="T379"/>
      <c r="U379"/>
      <c r="V379"/>
      <c r="W379"/>
      <c r="X379"/>
      <c r="Y379"/>
      <c r="Z379"/>
      <c r="AA379"/>
      <c r="AB379"/>
      <c r="AC379"/>
      <c r="AD379"/>
      <c r="AE379"/>
      <c r="AF379"/>
      <c r="AG379"/>
    </row>
    <row r="380" spans="1:22" s="8" customFormat="1" ht="16.5" customHeight="1">
      <c r="A380" s="10">
        <v>3</v>
      </c>
      <c r="B380" s="8" t="s">
        <v>651</v>
      </c>
      <c r="C380" s="10">
        <v>49817</v>
      </c>
      <c r="D380" s="298">
        <v>1</v>
      </c>
      <c r="E380" s="206">
        <v>3651.9</v>
      </c>
      <c r="F380" s="126">
        <f aca="true" t="shared" si="113" ref="F380:F387">E380*D380</f>
        <v>3651.9</v>
      </c>
      <c r="G380" s="351">
        <v>43.539</v>
      </c>
      <c r="H380" s="126">
        <f aca="true" t="shared" si="114" ref="H380:H387">G380*2.54</f>
        <v>110.58906</v>
      </c>
      <c r="I380" s="97">
        <f aca="true" t="shared" si="115" ref="I380:I387">F380*H380</f>
        <v>403860.188214</v>
      </c>
      <c r="J380" s="293">
        <v>12257.8</v>
      </c>
      <c r="K380" s="126">
        <f aca="true" t="shared" si="116" ref="K380:K387">J380*D380</f>
        <v>12257.8</v>
      </c>
      <c r="L380" s="301">
        <v>43.539</v>
      </c>
      <c r="M380" s="126">
        <f aca="true" t="shared" si="117" ref="M380:M387">L380*2.54</f>
        <v>110.58906</v>
      </c>
      <c r="N380" s="97">
        <f aca="true" t="shared" si="118" ref="N380:N387">K380*M380</f>
        <v>1355578.5796679999</v>
      </c>
      <c r="O380" s="302">
        <v>0</v>
      </c>
      <c r="P380" s="126">
        <f aca="true" t="shared" si="119" ref="P380:P387">O380*2.54</f>
        <v>0</v>
      </c>
      <c r="Q380" s="97">
        <f aca="true" t="shared" si="120" ref="Q380:Q387">F380*P380</f>
        <v>0</v>
      </c>
      <c r="R380" s="126">
        <f aca="true" t="shared" si="121" ref="R380:R387">K380*P380</f>
        <v>0</v>
      </c>
      <c r="V380" s="97"/>
    </row>
    <row r="381" spans="1:22" s="194" customFormat="1" ht="16.5" customHeight="1">
      <c r="A381" s="10">
        <v>3</v>
      </c>
      <c r="B381" s="8" t="s">
        <v>652</v>
      </c>
      <c r="C381" s="10">
        <v>49817</v>
      </c>
      <c r="D381" s="298">
        <v>1</v>
      </c>
      <c r="E381" s="206">
        <v>3641.2</v>
      </c>
      <c r="F381" s="126">
        <f t="shared" si="113"/>
        <v>3641.2</v>
      </c>
      <c r="G381" s="351">
        <v>33.671</v>
      </c>
      <c r="H381" s="126">
        <f t="shared" si="114"/>
        <v>85.52434</v>
      </c>
      <c r="I381" s="97">
        <f t="shared" si="115"/>
        <v>311411.22680799995</v>
      </c>
      <c r="J381" s="293">
        <v>12257.8</v>
      </c>
      <c r="K381" s="126">
        <f t="shared" si="116"/>
        <v>12257.8</v>
      </c>
      <c r="L381" s="301">
        <v>33.671</v>
      </c>
      <c r="M381" s="126">
        <f t="shared" si="117"/>
        <v>85.52434</v>
      </c>
      <c r="N381" s="97">
        <f t="shared" si="118"/>
        <v>1048340.2548519999</v>
      </c>
      <c r="O381" s="302">
        <v>0</v>
      </c>
      <c r="P381" s="126">
        <f t="shared" si="119"/>
        <v>0</v>
      </c>
      <c r="Q381" s="97">
        <f t="shared" si="120"/>
        <v>0</v>
      </c>
      <c r="R381" s="126">
        <f t="shared" si="121"/>
        <v>0</v>
      </c>
      <c r="V381" s="195"/>
    </row>
    <row r="382" spans="1:22" s="8" customFormat="1" ht="16.5" customHeight="1">
      <c r="A382" s="10">
        <v>3</v>
      </c>
      <c r="B382" s="8" t="s">
        <v>653</v>
      </c>
      <c r="C382" s="10">
        <v>49818</v>
      </c>
      <c r="D382" s="298">
        <v>1</v>
      </c>
      <c r="E382" s="206">
        <v>685.7</v>
      </c>
      <c r="F382" s="126">
        <f t="shared" si="113"/>
        <v>685.7</v>
      </c>
      <c r="G382" s="351">
        <v>38.935</v>
      </c>
      <c r="H382" s="126">
        <f t="shared" si="114"/>
        <v>98.8949</v>
      </c>
      <c r="I382" s="97">
        <f t="shared" si="115"/>
        <v>67812.23293000001</v>
      </c>
      <c r="J382" s="293">
        <v>436.8</v>
      </c>
      <c r="K382" s="126">
        <f t="shared" si="116"/>
        <v>436.8</v>
      </c>
      <c r="L382" s="301">
        <f aca="true" t="shared" si="122" ref="L382:L387">G382</f>
        <v>38.935</v>
      </c>
      <c r="M382" s="126">
        <f t="shared" si="117"/>
        <v>98.8949</v>
      </c>
      <c r="N382" s="97">
        <f t="shared" si="118"/>
        <v>43197.29232000001</v>
      </c>
      <c r="O382" s="302">
        <v>0</v>
      </c>
      <c r="P382" s="126">
        <f t="shared" si="119"/>
        <v>0</v>
      </c>
      <c r="Q382" s="97">
        <f t="shared" si="120"/>
        <v>0</v>
      </c>
      <c r="R382" s="126">
        <f t="shared" si="121"/>
        <v>0</v>
      </c>
      <c r="V382" s="97"/>
    </row>
    <row r="383" spans="1:22" s="8" customFormat="1" ht="16.5" customHeight="1">
      <c r="A383" s="10">
        <v>3</v>
      </c>
      <c r="B383" s="8" t="s">
        <v>654</v>
      </c>
      <c r="C383" s="362" t="s">
        <v>655</v>
      </c>
      <c r="D383" s="298">
        <v>1</v>
      </c>
      <c r="E383" s="206">
        <v>13.5</v>
      </c>
      <c r="F383" s="126">
        <f t="shared" si="113"/>
        <v>13.5</v>
      </c>
      <c r="G383" s="351">
        <v>38.625</v>
      </c>
      <c r="H383" s="126">
        <f t="shared" si="114"/>
        <v>98.1075</v>
      </c>
      <c r="I383" s="97">
        <f t="shared" si="115"/>
        <v>1324.45125</v>
      </c>
      <c r="J383" s="229">
        <v>0</v>
      </c>
      <c r="K383" s="126">
        <f t="shared" si="116"/>
        <v>0</v>
      </c>
      <c r="L383" s="301">
        <f t="shared" si="122"/>
        <v>38.625</v>
      </c>
      <c r="M383" s="126">
        <f t="shared" si="117"/>
        <v>98.1075</v>
      </c>
      <c r="N383" s="97">
        <f t="shared" si="118"/>
        <v>0</v>
      </c>
      <c r="O383" s="302">
        <v>0</v>
      </c>
      <c r="P383" s="126">
        <f t="shared" si="119"/>
        <v>0</v>
      </c>
      <c r="Q383" s="97">
        <f t="shared" si="120"/>
        <v>0</v>
      </c>
      <c r="R383" s="126">
        <f t="shared" si="121"/>
        <v>0</v>
      </c>
      <c r="V383" s="97"/>
    </row>
    <row r="384" spans="1:22" s="8" customFormat="1" ht="16.5" customHeight="1">
      <c r="A384" s="10">
        <v>3</v>
      </c>
      <c r="B384" s="8" t="s">
        <v>656</v>
      </c>
      <c r="C384" s="386">
        <v>52412</v>
      </c>
      <c r="D384" s="298">
        <v>1</v>
      </c>
      <c r="E384" s="206">
        <v>16.7</v>
      </c>
      <c r="F384" s="126">
        <f t="shared" si="113"/>
        <v>16.7</v>
      </c>
      <c r="G384" s="351">
        <v>38.625</v>
      </c>
      <c r="H384" s="126">
        <f t="shared" si="114"/>
        <v>98.1075</v>
      </c>
      <c r="I384" s="97">
        <f t="shared" si="115"/>
        <v>1638.39525</v>
      </c>
      <c r="J384" s="293">
        <v>7.32</v>
      </c>
      <c r="K384" s="126">
        <f t="shared" si="116"/>
        <v>7.32</v>
      </c>
      <c r="L384" s="301">
        <f t="shared" si="122"/>
        <v>38.625</v>
      </c>
      <c r="M384" s="126">
        <f t="shared" si="117"/>
        <v>98.1075</v>
      </c>
      <c r="N384" s="97">
        <f t="shared" si="118"/>
        <v>718.1469000000001</v>
      </c>
      <c r="O384" s="302">
        <v>0</v>
      </c>
      <c r="P384" s="126">
        <f t="shared" si="119"/>
        <v>0</v>
      </c>
      <c r="Q384" s="97">
        <f t="shared" si="120"/>
        <v>0</v>
      </c>
      <c r="R384" s="126">
        <f t="shared" si="121"/>
        <v>0</v>
      </c>
      <c r="V384" s="97"/>
    </row>
    <row r="385" spans="1:22" s="8" customFormat="1" ht="16.5" customHeight="1">
      <c r="A385" s="10">
        <v>3</v>
      </c>
      <c r="B385" s="8" t="s">
        <v>657</v>
      </c>
      <c r="C385" s="10">
        <v>49883</v>
      </c>
      <c r="D385" s="298">
        <v>1</v>
      </c>
      <c r="E385" s="206">
        <v>21.3</v>
      </c>
      <c r="F385" s="126">
        <f t="shared" si="113"/>
        <v>21.3</v>
      </c>
      <c r="G385" s="351">
        <v>38.625</v>
      </c>
      <c r="H385" s="126">
        <f t="shared" si="114"/>
        <v>98.1075</v>
      </c>
      <c r="I385" s="97">
        <f t="shared" si="115"/>
        <v>2089.68975</v>
      </c>
      <c r="J385" s="300">
        <v>0</v>
      </c>
      <c r="K385" s="97">
        <f t="shared" si="116"/>
        <v>0</v>
      </c>
      <c r="L385" s="301">
        <f t="shared" si="122"/>
        <v>38.625</v>
      </c>
      <c r="M385" s="126">
        <f t="shared" si="117"/>
        <v>98.1075</v>
      </c>
      <c r="N385" s="97">
        <f t="shared" si="118"/>
        <v>0</v>
      </c>
      <c r="O385" s="302">
        <v>3.95</v>
      </c>
      <c r="P385" s="126">
        <f t="shared" si="119"/>
        <v>10.033000000000001</v>
      </c>
      <c r="Q385" s="97">
        <f t="shared" si="120"/>
        <v>213.70290000000003</v>
      </c>
      <c r="R385" s="126">
        <f t="shared" si="121"/>
        <v>0</v>
      </c>
      <c r="V385" s="97"/>
    </row>
    <row r="386" spans="1:22" s="8" customFormat="1" ht="16.5" customHeight="1">
      <c r="A386" s="10">
        <v>3</v>
      </c>
      <c r="B386" s="8" t="s">
        <v>658</v>
      </c>
      <c r="C386" s="386">
        <v>52405</v>
      </c>
      <c r="D386" s="298">
        <v>1</v>
      </c>
      <c r="E386" s="206">
        <v>18.8</v>
      </c>
      <c r="F386" s="126">
        <f t="shared" si="113"/>
        <v>18.8</v>
      </c>
      <c r="G386" s="351">
        <v>38.625</v>
      </c>
      <c r="H386" s="126">
        <f t="shared" si="114"/>
        <v>98.1075</v>
      </c>
      <c r="I386" s="97">
        <f t="shared" si="115"/>
        <v>1844.421</v>
      </c>
      <c r="J386" s="300">
        <v>0</v>
      </c>
      <c r="K386" s="97">
        <f t="shared" si="116"/>
        <v>0</v>
      </c>
      <c r="L386" s="301">
        <f t="shared" si="122"/>
        <v>38.625</v>
      </c>
      <c r="M386" s="126">
        <f t="shared" si="117"/>
        <v>98.1075</v>
      </c>
      <c r="N386" s="97">
        <f t="shared" si="118"/>
        <v>0</v>
      </c>
      <c r="O386" s="302">
        <v>3.95</v>
      </c>
      <c r="P386" s="126">
        <f t="shared" si="119"/>
        <v>10.033000000000001</v>
      </c>
      <c r="Q386" s="97">
        <f t="shared" si="120"/>
        <v>188.62040000000002</v>
      </c>
      <c r="R386" s="126">
        <f t="shared" si="121"/>
        <v>0</v>
      </c>
      <c r="V386" s="97"/>
    </row>
    <row r="387" spans="1:22" s="8" customFormat="1" ht="16.5" customHeight="1">
      <c r="A387" s="10">
        <v>3</v>
      </c>
      <c r="B387" s="8" t="s">
        <v>659</v>
      </c>
      <c r="C387" s="362" t="s">
        <v>660</v>
      </c>
      <c r="D387" s="298">
        <v>1</v>
      </c>
      <c r="E387" s="206">
        <v>7.1</v>
      </c>
      <c r="F387" s="126">
        <f t="shared" si="113"/>
        <v>7.1</v>
      </c>
      <c r="G387" s="351">
        <v>38.625</v>
      </c>
      <c r="H387" s="126">
        <f t="shared" si="114"/>
        <v>98.1075</v>
      </c>
      <c r="I387" s="97">
        <f t="shared" si="115"/>
        <v>696.5632499999999</v>
      </c>
      <c r="J387" s="300">
        <v>0</v>
      </c>
      <c r="K387" s="97">
        <f t="shared" si="116"/>
        <v>0</v>
      </c>
      <c r="L387" s="301">
        <f t="shared" si="122"/>
        <v>38.625</v>
      </c>
      <c r="M387" s="126">
        <f t="shared" si="117"/>
        <v>98.1075</v>
      </c>
      <c r="N387" s="97">
        <f t="shared" si="118"/>
        <v>0</v>
      </c>
      <c r="O387" s="302">
        <v>3.95</v>
      </c>
      <c r="P387" s="126">
        <f t="shared" si="119"/>
        <v>10.033000000000001</v>
      </c>
      <c r="Q387" s="97">
        <f t="shared" si="120"/>
        <v>71.2343</v>
      </c>
      <c r="R387" s="126">
        <f t="shared" si="121"/>
        <v>0</v>
      </c>
      <c r="V387" s="97"/>
    </row>
    <row r="388" spans="1:22" s="8" customFormat="1" ht="16.5" customHeight="1">
      <c r="A388" s="344"/>
      <c r="B388" s="349"/>
      <c r="C388" s="344"/>
      <c r="D388" s="374"/>
      <c r="E388" s="375"/>
      <c r="F388" s="376"/>
      <c r="G388" s="377"/>
      <c r="H388" s="376"/>
      <c r="I388" s="378"/>
      <c r="J388" s="379"/>
      <c r="K388" s="378"/>
      <c r="L388" s="380"/>
      <c r="M388" s="376"/>
      <c r="N388" s="378"/>
      <c r="O388" s="381"/>
      <c r="P388" s="376"/>
      <c r="Q388" s="378"/>
      <c r="R388" s="376"/>
      <c r="V388" s="97"/>
    </row>
    <row r="389" spans="1:22" s="105" customFormat="1" ht="16.5" customHeight="1">
      <c r="A389" s="248">
        <v>2</v>
      </c>
      <c r="B389" s="318" t="s">
        <v>661</v>
      </c>
      <c r="C389" s="425">
        <v>49877</v>
      </c>
      <c r="D389" s="181"/>
      <c r="E389" s="332"/>
      <c r="F389" s="203"/>
      <c r="G389" s="426"/>
      <c r="H389" s="203"/>
      <c r="I389" s="256"/>
      <c r="J389" s="288"/>
      <c r="K389" s="425"/>
      <c r="L389" s="120"/>
      <c r="M389" s="203"/>
      <c r="N389" s="425"/>
      <c r="O389" s="249"/>
      <c r="P389" s="108"/>
      <c r="Q389" s="108"/>
      <c r="R389" s="254"/>
      <c r="V389" s="128"/>
    </row>
    <row r="390" spans="1:22" s="105" customFormat="1" ht="16.5" customHeight="1">
      <c r="A390" s="103"/>
      <c r="B390" s="331" t="s">
        <v>218</v>
      </c>
      <c r="C390" s="258">
        <f>SUM(F392:F404)</f>
        <v>5193.399999999999</v>
      </c>
      <c r="D390" s="196" t="s">
        <v>126</v>
      </c>
      <c r="E390" s="322" t="s">
        <v>312</v>
      </c>
      <c r="F390" s="203"/>
      <c r="G390" s="426"/>
      <c r="H390" s="203"/>
      <c r="J390" s="288"/>
      <c r="L390" s="120"/>
      <c r="M390" s="203"/>
      <c r="N390" s="425"/>
      <c r="O390" s="249"/>
      <c r="P390" s="108"/>
      <c r="Q390" s="108"/>
      <c r="R390" s="254"/>
      <c r="V390" s="128"/>
    </row>
    <row r="391" spans="1:33" s="105" customFormat="1" ht="16.5" customHeight="1">
      <c r="A391" s="103"/>
      <c r="B391" s="331" t="s">
        <v>207</v>
      </c>
      <c r="C391" s="332">
        <v>5194</v>
      </c>
      <c r="D391" s="196" t="s">
        <v>126</v>
      </c>
      <c r="E391" s="333">
        <f>C391-C390</f>
        <v>0.6000000000012733</v>
      </c>
      <c r="I391" s="352"/>
      <c r="O391" s="249"/>
      <c r="T391"/>
      <c r="U391"/>
      <c r="V391"/>
      <c r="W391"/>
      <c r="X391"/>
      <c r="Y391"/>
      <c r="Z391"/>
      <c r="AA391"/>
      <c r="AB391"/>
      <c r="AC391"/>
      <c r="AD391"/>
      <c r="AE391"/>
      <c r="AF391"/>
      <c r="AG391"/>
    </row>
    <row r="392" spans="1:22" s="105" customFormat="1" ht="16.5" customHeight="1">
      <c r="A392" s="103">
        <v>3</v>
      </c>
      <c r="B392" s="105" t="s">
        <v>662</v>
      </c>
      <c r="C392" s="103">
        <v>49830</v>
      </c>
      <c r="D392" s="200">
        <v>1</v>
      </c>
      <c r="E392" s="206">
        <v>1918.3</v>
      </c>
      <c r="F392" s="207">
        <f aca="true" t="shared" si="123" ref="F392:F398">E392*D392</f>
        <v>1918.3</v>
      </c>
      <c r="G392" s="228">
        <v>15.566</v>
      </c>
      <c r="H392" s="207">
        <f aca="true" t="shared" si="124" ref="H392:H398">G392*2.54</f>
        <v>39.53764</v>
      </c>
      <c r="I392" s="128">
        <f aca="true" t="shared" si="125" ref="I392:I398">F392*H392</f>
        <v>75845.054812</v>
      </c>
      <c r="J392" s="293">
        <v>5178.3</v>
      </c>
      <c r="K392" s="207">
        <f aca="true" t="shared" si="126" ref="K392:K398">J392*D392</f>
        <v>5178.3</v>
      </c>
      <c r="L392" s="230">
        <v>15.781</v>
      </c>
      <c r="M392" s="207">
        <f aca="true" t="shared" si="127" ref="M392:M398">L392*2.54</f>
        <v>40.08374</v>
      </c>
      <c r="N392" s="97">
        <f aca="true" t="shared" si="128" ref="N392:N398">K392*M392</f>
        <v>207565.630842</v>
      </c>
      <c r="O392" s="209">
        <v>0</v>
      </c>
      <c r="P392" s="207">
        <f aca="true" t="shared" si="129" ref="P392:P398">O392*2.54</f>
        <v>0</v>
      </c>
      <c r="Q392" s="128">
        <f aca="true" t="shared" si="130" ref="Q392:Q398">F392*P392</f>
        <v>0</v>
      </c>
      <c r="R392" s="207">
        <f aca="true" t="shared" si="131" ref="R392:R398">K392*P392</f>
        <v>0</v>
      </c>
      <c r="V392" s="128"/>
    </row>
    <row r="393" spans="1:22" s="427" customFormat="1" ht="16.5" customHeight="1">
      <c r="A393" s="103">
        <v>3</v>
      </c>
      <c r="B393" s="105" t="s">
        <v>663</v>
      </c>
      <c r="C393" s="269" t="s">
        <v>664</v>
      </c>
      <c r="D393" s="200">
        <v>1</v>
      </c>
      <c r="E393" s="206">
        <v>1441.2</v>
      </c>
      <c r="F393" s="207">
        <f t="shared" si="123"/>
        <v>1441.2</v>
      </c>
      <c r="G393" s="228">
        <v>9.015</v>
      </c>
      <c r="H393" s="207">
        <f t="shared" si="124"/>
        <v>22.898100000000003</v>
      </c>
      <c r="I393" s="128">
        <f t="shared" si="125"/>
        <v>33000.741720000005</v>
      </c>
      <c r="J393" s="293">
        <v>656.2</v>
      </c>
      <c r="K393" s="207">
        <f t="shared" si="126"/>
        <v>656.2</v>
      </c>
      <c r="L393" s="230">
        <v>9.015</v>
      </c>
      <c r="M393" s="207">
        <f t="shared" si="127"/>
        <v>22.898100000000003</v>
      </c>
      <c r="N393" s="97">
        <f t="shared" si="128"/>
        <v>15025.733220000004</v>
      </c>
      <c r="O393" s="209">
        <v>0</v>
      </c>
      <c r="P393" s="207">
        <f t="shared" si="129"/>
        <v>0</v>
      </c>
      <c r="Q393" s="128">
        <f t="shared" si="130"/>
        <v>0</v>
      </c>
      <c r="R393" s="207">
        <f t="shared" si="131"/>
        <v>0</v>
      </c>
      <c r="V393" s="428"/>
    </row>
    <row r="394" spans="1:22" s="427" customFormat="1" ht="16.5" customHeight="1">
      <c r="A394" s="103">
        <v>3</v>
      </c>
      <c r="B394" s="105" t="s">
        <v>665</v>
      </c>
      <c r="C394" s="227">
        <v>52413</v>
      </c>
      <c r="D394" s="200">
        <v>1</v>
      </c>
      <c r="E394" s="206">
        <v>3.2</v>
      </c>
      <c r="F394" s="207">
        <f t="shared" si="123"/>
        <v>3.2</v>
      </c>
      <c r="G394" s="228">
        <v>10.5</v>
      </c>
      <c r="H394" s="207">
        <f t="shared" si="124"/>
        <v>26.67</v>
      </c>
      <c r="I394" s="128">
        <f t="shared" si="125"/>
        <v>85.34400000000001</v>
      </c>
      <c r="J394" s="300">
        <v>0</v>
      </c>
      <c r="K394" s="128">
        <f t="shared" si="126"/>
        <v>0</v>
      </c>
      <c r="L394" s="230">
        <f>G394</f>
        <v>10.5</v>
      </c>
      <c r="M394" s="207">
        <f t="shared" si="127"/>
        <v>26.67</v>
      </c>
      <c r="N394" s="97">
        <f t="shared" si="128"/>
        <v>0</v>
      </c>
      <c r="O394" s="209">
        <v>0</v>
      </c>
      <c r="P394" s="207">
        <f t="shared" si="129"/>
        <v>0</v>
      </c>
      <c r="Q394" s="128">
        <f t="shared" si="130"/>
        <v>0</v>
      </c>
      <c r="R394" s="207">
        <f t="shared" si="131"/>
        <v>0</v>
      </c>
      <c r="V394" s="428"/>
    </row>
    <row r="395" spans="1:22" s="105" customFormat="1" ht="16.5" customHeight="1">
      <c r="A395" s="103">
        <v>3</v>
      </c>
      <c r="B395" s="266" t="s">
        <v>666</v>
      </c>
      <c r="C395" s="269" t="s">
        <v>667</v>
      </c>
      <c r="D395" s="200">
        <v>1</v>
      </c>
      <c r="E395" s="206">
        <v>15.1</v>
      </c>
      <c r="F395" s="207">
        <f t="shared" si="123"/>
        <v>15.1</v>
      </c>
      <c r="G395" s="228">
        <v>10.7</v>
      </c>
      <c r="H395" s="207">
        <f t="shared" si="124"/>
        <v>27.177999999999997</v>
      </c>
      <c r="I395" s="128">
        <f t="shared" si="125"/>
        <v>410.38779999999997</v>
      </c>
      <c r="J395" s="300">
        <v>0</v>
      </c>
      <c r="K395" s="128">
        <f t="shared" si="126"/>
        <v>0</v>
      </c>
      <c r="L395" s="230">
        <f>G395</f>
        <v>10.7</v>
      </c>
      <c r="M395" s="207">
        <f t="shared" si="127"/>
        <v>27.177999999999997</v>
      </c>
      <c r="N395" s="97">
        <f t="shared" si="128"/>
        <v>0</v>
      </c>
      <c r="O395" s="209">
        <v>0</v>
      </c>
      <c r="P395" s="207">
        <f t="shared" si="129"/>
        <v>0</v>
      </c>
      <c r="Q395" s="128">
        <f t="shared" si="130"/>
        <v>0</v>
      </c>
      <c r="R395" s="207">
        <f t="shared" si="131"/>
        <v>0</v>
      </c>
      <c r="V395" s="103"/>
    </row>
    <row r="396" spans="1:22" s="105" customFormat="1" ht="16.5" customHeight="1">
      <c r="A396" s="103">
        <v>3</v>
      </c>
      <c r="B396" s="105" t="s">
        <v>668</v>
      </c>
      <c r="C396" s="103">
        <v>49829</v>
      </c>
      <c r="D396" s="200">
        <v>1</v>
      </c>
      <c r="E396" s="206">
        <v>1701</v>
      </c>
      <c r="F396" s="207">
        <f t="shared" si="123"/>
        <v>1701</v>
      </c>
      <c r="G396" s="228">
        <v>22.843</v>
      </c>
      <c r="H396" s="207">
        <f t="shared" si="124"/>
        <v>58.02122</v>
      </c>
      <c r="I396" s="128">
        <f t="shared" si="125"/>
        <v>98694.09522</v>
      </c>
      <c r="J396" s="293">
        <v>5240.9</v>
      </c>
      <c r="K396" s="207">
        <f t="shared" si="126"/>
        <v>5240.9</v>
      </c>
      <c r="L396" s="230">
        <v>22.919</v>
      </c>
      <c r="M396" s="207">
        <f t="shared" si="127"/>
        <v>58.21426</v>
      </c>
      <c r="N396" s="97">
        <f t="shared" si="128"/>
        <v>305095.11523399997</v>
      </c>
      <c r="O396" s="209">
        <v>0</v>
      </c>
      <c r="P396" s="207">
        <f t="shared" si="129"/>
        <v>0</v>
      </c>
      <c r="Q396" s="128">
        <f t="shared" si="130"/>
        <v>0</v>
      </c>
      <c r="R396" s="207">
        <f t="shared" si="131"/>
        <v>0</v>
      </c>
      <c r="V396" s="128"/>
    </row>
    <row r="397" spans="1:22" s="105" customFormat="1" ht="16.5" customHeight="1">
      <c r="A397" s="103">
        <v>3</v>
      </c>
      <c r="B397" s="105" t="s">
        <v>669</v>
      </c>
      <c r="C397" s="227">
        <v>52410</v>
      </c>
      <c r="D397" s="200">
        <v>1</v>
      </c>
      <c r="E397" s="206">
        <v>6.3</v>
      </c>
      <c r="F397" s="207">
        <f t="shared" si="123"/>
        <v>6.3</v>
      </c>
      <c r="G397" s="228">
        <v>19.77</v>
      </c>
      <c r="H397" s="207">
        <f t="shared" si="124"/>
        <v>50.2158</v>
      </c>
      <c r="I397" s="128">
        <f t="shared" si="125"/>
        <v>316.35954</v>
      </c>
      <c r="J397" s="293">
        <v>5.76</v>
      </c>
      <c r="K397" s="207">
        <f t="shared" si="126"/>
        <v>5.76</v>
      </c>
      <c r="L397" s="230">
        <f>G397</f>
        <v>19.77</v>
      </c>
      <c r="M397" s="207">
        <f t="shared" si="127"/>
        <v>50.2158</v>
      </c>
      <c r="N397" s="97">
        <f t="shared" si="128"/>
        <v>289.243008</v>
      </c>
      <c r="O397" s="209">
        <v>0</v>
      </c>
      <c r="P397" s="207">
        <f t="shared" si="129"/>
        <v>0</v>
      </c>
      <c r="Q397" s="128">
        <f t="shared" si="130"/>
        <v>0</v>
      </c>
      <c r="R397" s="207">
        <f t="shared" si="131"/>
        <v>0</v>
      </c>
      <c r="V397" s="128"/>
    </row>
    <row r="398" spans="1:22" s="105" customFormat="1" ht="16.5" customHeight="1">
      <c r="A398" s="103">
        <v>3</v>
      </c>
      <c r="B398" s="266" t="s">
        <v>670</v>
      </c>
      <c r="C398" s="227" t="s">
        <v>351</v>
      </c>
      <c r="D398" s="200">
        <v>1</v>
      </c>
      <c r="E398" s="206">
        <v>10.7</v>
      </c>
      <c r="F398" s="207">
        <f t="shared" si="123"/>
        <v>10.7</v>
      </c>
      <c r="G398" s="228">
        <v>19.87</v>
      </c>
      <c r="H398" s="207">
        <f t="shared" si="124"/>
        <v>50.469800000000006</v>
      </c>
      <c r="I398" s="128">
        <f t="shared" si="125"/>
        <v>540.02686</v>
      </c>
      <c r="J398" s="300">
        <v>0</v>
      </c>
      <c r="K398" s="128">
        <f t="shared" si="126"/>
        <v>0</v>
      </c>
      <c r="L398" s="230">
        <f>G398</f>
        <v>19.87</v>
      </c>
      <c r="M398" s="207">
        <f t="shared" si="127"/>
        <v>50.469800000000006</v>
      </c>
      <c r="N398" s="97">
        <f t="shared" si="128"/>
        <v>0</v>
      </c>
      <c r="O398" s="209">
        <v>0</v>
      </c>
      <c r="P398" s="207">
        <f t="shared" si="129"/>
        <v>0</v>
      </c>
      <c r="Q398" s="128">
        <f t="shared" si="130"/>
        <v>0</v>
      </c>
      <c r="R398" s="207">
        <f t="shared" si="131"/>
        <v>0</v>
      </c>
      <c r="V398" s="103"/>
    </row>
    <row r="399" spans="1:22" s="105" customFormat="1" ht="16.5" customHeight="1">
      <c r="A399" s="103"/>
      <c r="B399" s="266" t="s">
        <v>671</v>
      </c>
      <c r="C399" s="227"/>
      <c r="D399" s="200"/>
      <c r="E399" s="206"/>
      <c r="F399" s="207"/>
      <c r="G399" s="228"/>
      <c r="H399" s="207"/>
      <c r="I399" s="128"/>
      <c r="J399" s="300"/>
      <c r="K399" s="128"/>
      <c r="L399" s="230"/>
      <c r="M399" s="207"/>
      <c r="N399" s="97"/>
      <c r="O399" s="209"/>
      <c r="P399" s="207"/>
      <c r="Q399" s="128"/>
      <c r="R399" s="207"/>
      <c r="V399" s="103"/>
    </row>
    <row r="400" spans="1:22" s="105" customFormat="1" ht="16.5" customHeight="1">
      <c r="A400" s="103">
        <v>3</v>
      </c>
      <c r="B400" s="266" t="s">
        <v>672</v>
      </c>
      <c r="C400" s="269">
        <v>49848</v>
      </c>
      <c r="D400" s="200">
        <v>1</v>
      </c>
      <c r="E400" s="206">
        <v>25.7</v>
      </c>
      <c r="F400" s="207">
        <f>E400*D400</f>
        <v>25.7</v>
      </c>
      <c r="G400" s="228">
        <v>12.01</v>
      </c>
      <c r="H400" s="207">
        <f>G400*2.54</f>
        <v>30.5054</v>
      </c>
      <c r="I400" s="128">
        <f>F400*H400</f>
        <v>783.98878</v>
      </c>
      <c r="J400" s="300">
        <v>0</v>
      </c>
      <c r="K400" s="128">
        <f>J400*D400</f>
        <v>0</v>
      </c>
      <c r="L400" s="230">
        <f>G400</f>
        <v>12.01</v>
      </c>
      <c r="M400" s="207">
        <f>L400*2.54</f>
        <v>30.5054</v>
      </c>
      <c r="N400" s="97">
        <f>K400*M400</f>
        <v>0</v>
      </c>
      <c r="O400" s="209">
        <v>-0.35</v>
      </c>
      <c r="P400" s="207">
        <f>O400*2.54</f>
        <v>-0.8889999999999999</v>
      </c>
      <c r="Q400" s="128">
        <f>F400*P400</f>
        <v>-22.847299999999997</v>
      </c>
      <c r="R400" s="207">
        <f>K400*P400</f>
        <v>0</v>
      </c>
      <c r="V400" s="103"/>
    </row>
    <row r="401" spans="1:22" s="310" customFormat="1" ht="16.5" customHeight="1">
      <c r="A401" s="103">
        <v>3</v>
      </c>
      <c r="B401" s="266" t="s">
        <v>673</v>
      </c>
      <c r="C401" s="269" t="s">
        <v>674</v>
      </c>
      <c r="D401" s="200">
        <v>1</v>
      </c>
      <c r="E401" s="206">
        <v>46.5</v>
      </c>
      <c r="F401" s="207">
        <f>E401*D401</f>
        <v>46.5</v>
      </c>
      <c r="G401" s="228">
        <v>12.01</v>
      </c>
      <c r="H401" s="207">
        <f>G401*2.54</f>
        <v>30.5054</v>
      </c>
      <c r="I401" s="128">
        <f>F401*H401</f>
        <v>1418.5011000000002</v>
      </c>
      <c r="J401" s="300">
        <v>0</v>
      </c>
      <c r="K401" s="128">
        <f>J401*D401</f>
        <v>0</v>
      </c>
      <c r="L401" s="230">
        <f>G401</f>
        <v>12.01</v>
      </c>
      <c r="M401" s="207">
        <f>L401*2.54</f>
        <v>30.5054</v>
      </c>
      <c r="N401" s="97">
        <f>K401*M401</f>
        <v>0</v>
      </c>
      <c r="O401" s="209">
        <v>0</v>
      </c>
      <c r="P401" s="207">
        <f>O401*2.54</f>
        <v>0</v>
      </c>
      <c r="Q401" s="128">
        <f>F401*P401</f>
        <v>0</v>
      </c>
      <c r="R401" s="207">
        <f>K401*P401</f>
        <v>0</v>
      </c>
      <c r="V401" s="248"/>
    </row>
    <row r="402" spans="1:22" s="105" customFormat="1" ht="16.5" customHeight="1">
      <c r="A402" s="103">
        <v>3</v>
      </c>
      <c r="B402" s="266" t="s">
        <v>675</v>
      </c>
      <c r="C402" s="269" t="s">
        <v>676</v>
      </c>
      <c r="D402" s="200">
        <v>1</v>
      </c>
      <c r="E402" s="206">
        <v>2.8</v>
      </c>
      <c r="F402" s="207">
        <f>E402*D402</f>
        <v>2.8</v>
      </c>
      <c r="G402" s="228">
        <v>12.01</v>
      </c>
      <c r="H402" s="207">
        <f>G402*2.54</f>
        <v>30.5054</v>
      </c>
      <c r="I402" s="128">
        <f>F402*H402</f>
        <v>85.41512</v>
      </c>
      <c r="J402" s="300">
        <v>0</v>
      </c>
      <c r="K402" s="128">
        <f>J402*D402</f>
        <v>0</v>
      </c>
      <c r="L402" s="230">
        <f>G402</f>
        <v>12.01</v>
      </c>
      <c r="M402" s="207">
        <f>L402*2.54</f>
        <v>30.5054</v>
      </c>
      <c r="N402" s="97">
        <f>K402*M402</f>
        <v>0</v>
      </c>
      <c r="O402" s="209">
        <v>-0.31</v>
      </c>
      <c r="P402" s="207">
        <f>O402*2.54</f>
        <v>-0.7874</v>
      </c>
      <c r="Q402" s="128">
        <f>F402*P402</f>
        <v>-2.20472</v>
      </c>
      <c r="R402" s="207">
        <f>K402*P402</f>
        <v>0</v>
      </c>
      <c r="V402" s="103"/>
    </row>
    <row r="403" spans="1:22" s="105" customFormat="1" ht="16.5" customHeight="1">
      <c r="A403" s="103">
        <v>3</v>
      </c>
      <c r="B403" s="266" t="s">
        <v>677</v>
      </c>
      <c r="C403" s="269" t="s">
        <v>678</v>
      </c>
      <c r="D403" s="200">
        <v>1</v>
      </c>
      <c r="E403" s="206">
        <v>1.2</v>
      </c>
      <c r="F403" s="207">
        <f>E403*D403</f>
        <v>1.2</v>
      </c>
      <c r="G403" s="228">
        <v>10.8</v>
      </c>
      <c r="H403" s="207">
        <f>G403*2.54</f>
        <v>27.432000000000002</v>
      </c>
      <c r="I403" s="128">
        <f>F403*H403</f>
        <v>32.9184</v>
      </c>
      <c r="J403" s="300">
        <v>0</v>
      </c>
      <c r="K403" s="128">
        <f>J403*D403</f>
        <v>0</v>
      </c>
      <c r="L403" s="230">
        <f>G403</f>
        <v>10.8</v>
      </c>
      <c r="M403" s="207">
        <f>L403*2.54</f>
        <v>27.432000000000002</v>
      </c>
      <c r="N403" s="97">
        <f>K403*M403</f>
        <v>0</v>
      </c>
      <c r="O403" s="209">
        <v>-0.81</v>
      </c>
      <c r="P403" s="207">
        <f>O403*2.54</f>
        <v>-2.0574000000000003</v>
      </c>
      <c r="Q403" s="128">
        <f>F403*P403</f>
        <v>-2.4688800000000004</v>
      </c>
      <c r="R403" s="207">
        <f>K403*P403</f>
        <v>0</v>
      </c>
      <c r="V403" s="103"/>
    </row>
    <row r="404" spans="1:22" s="310" customFormat="1" ht="16.5" customHeight="1">
      <c r="A404" s="103">
        <v>3</v>
      </c>
      <c r="B404" s="266" t="s">
        <v>679</v>
      </c>
      <c r="C404" s="227">
        <v>52244</v>
      </c>
      <c r="D404" s="200">
        <v>1</v>
      </c>
      <c r="E404" s="206">
        <v>21.4</v>
      </c>
      <c r="F404" s="207">
        <f>E404*D404</f>
        <v>21.4</v>
      </c>
      <c r="G404" s="228">
        <v>15.33</v>
      </c>
      <c r="H404" s="207">
        <f>G404*2.54</f>
        <v>38.9382</v>
      </c>
      <c r="I404" s="128">
        <f>F404*H404</f>
        <v>833.27748</v>
      </c>
      <c r="J404" s="300">
        <v>0</v>
      </c>
      <c r="K404" s="128">
        <f>J404*D404</f>
        <v>0</v>
      </c>
      <c r="L404" s="230">
        <f>G404</f>
        <v>15.33</v>
      </c>
      <c r="M404" s="207">
        <f>L404*2.54</f>
        <v>38.9382</v>
      </c>
      <c r="N404" s="97">
        <f>K404*M404</f>
        <v>0</v>
      </c>
      <c r="O404" s="209">
        <v>0.38</v>
      </c>
      <c r="P404" s="207">
        <f>O404*2.54</f>
        <v>0.9652000000000001</v>
      </c>
      <c r="Q404" s="128">
        <f>F404*P404</f>
        <v>20.65528</v>
      </c>
      <c r="R404" s="207">
        <f>K404*P404</f>
        <v>0</v>
      </c>
      <c r="V404" s="248"/>
    </row>
    <row r="405" spans="1:18" ht="12">
      <c r="A405" s="3"/>
      <c r="B405" s="429"/>
      <c r="C405" s="3"/>
      <c r="D405" s="3"/>
      <c r="E405" s="430"/>
      <c r="F405" s="3"/>
      <c r="G405" s="430"/>
      <c r="H405" s="3"/>
      <c r="I405" s="3"/>
      <c r="J405" s="430"/>
      <c r="K405" s="3"/>
      <c r="L405" s="430"/>
      <c r="M405" s="429"/>
      <c r="N405" s="3"/>
      <c r="O405" s="3"/>
      <c r="P405" s="3"/>
      <c r="Q405" s="3"/>
      <c r="R405" s="3"/>
    </row>
  </sheetData>
  <sheetProtection/>
  <printOptions gridLines="1" horizontalCentered="1"/>
  <pageMargins left="0.5" right="0.5" top="0.6097222222222223" bottom="0.65" header="0.5118055555555555" footer="0"/>
  <pageSetup fitToHeight="0" fitToWidth="1" horizontalDpi="300" verticalDpi="300" orientation="landscape" scale="54"/>
  <headerFooter alignWithMargins="0">
    <oddFooter>&amp;C&amp;F&amp;RPage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41"/>
  <sheetViews>
    <sheetView zoomScalePageLayoutView="0" workbookViewId="0" topLeftCell="A1">
      <selection activeCell="I37" sqref="I37"/>
    </sheetView>
  </sheetViews>
  <sheetFormatPr defaultColWidth="11.421875" defaultRowHeight="12.75"/>
  <cols>
    <col min="1" max="1" width="20.421875" style="0" customWidth="1"/>
    <col min="2" max="2" width="8.8515625" style="0" customWidth="1"/>
    <col min="3" max="3" width="11.28125" style="0" customWidth="1"/>
    <col min="4" max="12" width="8.8515625" style="0" customWidth="1"/>
    <col min="13" max="13" width="9.421875" style="0" customWidth="1"/>
    <col min="14" max="16384" width="8.8515625" style="0" customWidth="1"/>
  </cols>
  <sheetData>
    <row r="1" spans="1:7" ht="12">
      <c r="A1" s="431" t="s">
        <v>680</v>
      </c>
      <c r="B1" s="65" t="s">
        <v>681</v>
      </c>
      <c r="C1" s="432">
        <f>Cal!D1</f>
        <v>139</v>
      </c>
      <c r="E1" t="s">
        <v>682</v>
      </c>
      <c r="F1" s="11"/>
      <c r="G1" s="433"/>
    </row>
    <row r="2" spans="2:8" ht="12">
      <c r="B2" s="11" t="s">
        <v>683</v>
      </c>
      <c r="C2" s="433">
        <v>39794</v>
      </c>
      <c r="E2" s="13" t="s">
        <v>684</v>
      </c>
      <c r="H2" t="s">
        <v>685</v>
      </c>
    </row>
    <row r="3" spans="2:8" ht="12">
      <c r="B3" s="11" t="s">
        <v>686</v>
      </c>
      <c r="C3" s="567" t="s">
        <v>76</v>
      </c>
      <c r="E3" s="13" t="s">
        <v>687</v>
      </c>
      <c r="H3" t="s">
        <v>688</v>
      </c>
    </row>
    <row r="4" spans="2:10" ht="12">
      <c r="B4" s="11" t="s">
        <v>689</v>
      </c>
      <c r="C4" s="433" t="s">
        <v>77</v>
      </c>
      <c r="E4" s="142" t="s">
        <v>851</v>
      </c>
      <c r="H4" t="s">
        <v>852</v>
      </c>
      <c r="I4" s="550" t="s">
        <v>75</v>
      </c>
      <c r="J4" s="550"/>
    </row>
    <row r="5" spans="1:15" ht="12">
      <c r="A5" s="50"/>
      <c r="B5" s="434"/>
      <c r="C5" s="1"/>
      <c r="E5" s="50"/>
      <c r="I5" s="58" t="s">
        <v>73</v>
      </c>
      <c r="J5" s="58"/>
      <c r="K5">
        <f>2216.7+487</f>
        <v>2703.7</v>
      </c>
      <c r="L5" t="s">
        <v>74</v>
      </c>
      <c r="M5" s="511">
        <f>L31</f>
        <v>2706.3</v>
      </c>
      <c r="N5" t="s">
        <v>312</v>
      </c>
      <c r="O5" s="511">
        <f>M5-K5</f>
        <v>2.600000000000364</v>
      </c>
    </row>
    <row r="6" spans="1:17" ht="12">
      <c r="A6" s="18"/>
      <c r="B6" s="435" t="s">
        <v>853</v>
      </c>
      <c r="C6" s="435" t="s">
        <v>854</v>
      </c>
      <c r="D6" s="436"/>
      <c r="E6" s="437"/>
      <c r="F6" s="436"/>
      <c r="G6" s="436"/>
      <c r="H6" s="436"/>
      <c r="I6" s="436"/>
      <c r="J6" s="436"/>
      <c r="K6" s="436"/>
      <c r="L6" s="435" t="s">
        <v>854</v>
      </c>
      <c r="Q6" s="11"/>
    </row>
    <row r="7" spans="1:17" ht="12">
      <c r="A7" s="432" t="s">
        <v>219</v>
      </c>
      <c r="B7" s="438" t="s">
        <v>201</v>
      </c>
      <c r="C7" s="1" t="s">
        <v>855</v>
      </c>
      <c r="L7" s="1" t="s">
        <v>856</v>
      </c>
      <c r="Q7" s="11"/>
    </row>
    <row r="8" spans="1:17" ht="12">
      <c r="A8" s="11" t="s">
        <v>857</v>
      </c>
      <c r="B8" s="439">
        <v>1</v>
      </c>
      <c r="C8" s="25" t="s">
        <v>858</v>
      </c>
      <c r="D8" s="25" t="s">
        <v>859</v>
      </c>
      <c r="E8" s="25" t="s">
        <v>860</v>
      </c>
      <c r="F8" s="25" t="s">
        <v>861</v>
      </c>
      <c r="G8" s="25" t="s">
        <v>862</v>
      </c>
      <c r="H8" s="25" t="s">
        <v>863</v>
      </c>
      <c r="I8" s="25" t="s">
        <v>864</v>
      </c>
      <c r="J8" s="25" t="s">
        <v>865</v>
      </c>
      <c r="K8" s="25" t="s">
        <v>866</v>
      </c>
      <c r="L8" s="38"/>
      <c r="Q8" s="11"/>
    </row>
    <row r="9" spans="1:12" ht="12">
      <c r="A9" s="11" t="s">
        <v>867</v>
      </c>
      <c r="B9" s="440">
        <f>Trim!F65</f>
        <v>741.4</v>
      </c>
      <c r="C9" s="441">
        <v>246</v>
      </c>
      <c r="D9" s="440">
        <v>245.5</v>
      </c>
      <c r="E9" s="440">
        <v>249.9</v>
      </c>
      <c r="F9" s="440"/>
      <c r="G9" s="440"/>
      <c r="H9" s="440"/>
      <c r="I9" s="440"/>
      <c r="J9" s="440"/>
      <c r="K9" s="440"/>
      <c r="L9" s="442">
        <f>SUM(C9:K9)</f>
        <v>741.4</v>
      </c>
    </row>
    <row r="10" spans="1:12" ht="12">
      <c r="A10" s="11" t="s">
        <v>868</v>
      </c>
      <c r="B10" s="440">
        <v>23.5</v>
      </c>
      <c r="D10" s="440"/>
      <c r="E10" s="440"/>
      <c r="F10" s="440"/>
      <c r="G10" s="440"/>
      <c r="H10" s="440"/>
      <c r="I10" s="440"/>
      <c r="J10" s="440"/>
      <c r="K10" s="440"/>
      <c r="L10" s="442"/>
    </row>
    <row r="11" spans="1:12" ht="12">
      <c r="A11" s="11"/>
      <c r="B11" s="440"/>
      <c r="C11" s="444"/>
      <c r="D11" s="554"/>
      <c r="E11" s="444"/>
      <c r="F11" s="444"/>
      <c r="G11" s="444"/>
      <c r="H11" s="444"/>
      <c r="I11" s="444"/>
      <c r="J11" s="444"/>
      <c r="K11" s="444"/>
      <c r="L11" s="442"/>
    </row>
    <row r="12" spans="1:12" ht="12">
      <c r="A12" s="443" t="s">
        <v>869</v>
      </c>
      <c r="B12" s="448"/>
      <c r="C12" s="555" t="s">
        <v>63</v>
      </c>
      <c r="D12" s="556"/>
      <c r="E12" s="556"/>
      <c r="F12" s="557"/>
      <c r="G12" s="558" t="s">
        <v>870</v>
      </c>
      <c r="H12" s="556"/>
      <c r="I12" s="556"/>
      <c r="J12" s="557"/>
      <c r="K12" s="555" t="s">
        <v>64</v>
      </c>
      <c r="L12" s="446"/>
    </row>
    <row r="13" spans="1:12" ht="12">
      <c r="A13" s="443"/>
      <c r="B13" s="448"/>
      <c r="C13" s="557"/>
      <c r="E13" s="556"/>
      <c r="F13" s="558"/>
      <c r="G13" s="553"/>
      <c r="H13" s="553"/>
      <c r="I13" s="557"/>
      <c r="J13" s="557"/>
      <c r="K13" s="555"/>
      <c r="L13" s="446"/>
    </row>
    <row r="14" spans="1:13" ht="12">
      <c r="A14" s="46" t="s">
        <v>871</v>
      </c>
      <c r="B14" s="445">
        <f>Trim!F69</f>
        <v>1217.5</v>
      </c>
      <c r="C14" s="557"/>
      <c r="D14" s="566">
        <v>170.5</v>
      </c>
      <c r="E14" s="553">
        <v>171.5</v>
      </c>
      <c r="F14" s="553">
        <v>171.2</v>
      </c>
      <c r="G14" s="570">
        <v>180.2</v>
      </c>
      <c r="H14" s="570">
        <v>182.2</v>
      </c>
      <c r="I14" s="553">
        <v>171.2</v>
      </c>
      <c r="J14" s="553">
        <v>170.7</v>
      </c>
      <c r="K14" s="557"/>
      <c r="L14" s="446">
        <f>SUM(D14:K14)</f>
        <v>1217.5000000000002</v>
      </c>
      <c r="M14" s="447"/>
    </row>
    <row r="15" spans="1:12" ht="12">
      <c r="A15" s="11" t="s">
        <v>872</v>
      </c>
      <c r="B15" s="448">
        <f>SUM(D15:K15)</f>
        <v>7</v>
      </c>
      <c r="C15" s="557"/>
      <c r="D15" s="563">
        <v>1</v>
      </c>
      <c r="E15" s="553">
        <v>1</v>
      </c>
      <c r="F15" s="553">
        <v>1</v>
      </c>
      <c r="G15" s="563">
        <v>1</v>
      </c>
      <c r="H15" s="563">
        <v>1</v>
      </c>
      <c r="I15" s="553">
        <v>1</v>
      </c>
      <c r="J15" s="553">
        <v>1</v>
      </c>
      <c r="K15" s="557"/>
      <c r="L15" s="446"/>
    </row>
    <row r="16" spans="1:12" ht="12">
      <c r="A16" s="11"/>
      <c r="B16" s="448"/>
      <c r="C16" s="557"/>
      <c r="E16" s="557"/>
      <c r="F16" s="557"/>
      <c r="G16" s="559"/>
      <c r="H16" s="560"/>
      <c r="I16" s="557"/>
      <c r="J16" s="557"/>
      <c r="K16" s="556"/>
      <c r="L16" s="446"/>
    </row>
    <row r="17" spans="1:12" ht="12">
      <c r="A17" s="46" t="s">
        <v>873</v>
      </c>
      <c r="B17" s="445">
        <f>Trim!F70</f>
        <v>233.4</v>
      </c>
      <c r="C17" s="561"/>
      <c r="D17" s="561"/>
      <c r="E17" s="557"/>
      <c r="F17" s="553">
        <v>42.9</v>
      </c>
      <c r="G17" s="553">
        <v>95</v>
      </c>
      <c r="H17" s="553">
        <v>95.5</v>
      </c>
      <c r="I17" s="556"/>
      <c r="J17" s="556"/>
      <c r="K17" s="556"/>
      <c r="L17" s="446">
        <f>SUM(C17:K17)</f>
        <v>233.4</v>
      </c>
    </row>
    <row r="18" spans="1:12" ht="12">
      <c r="A18" s="11" t="s">
        <v>872</v>
      </c>
      <c r="B18" s="448">
        <f>SUM(C18:K18)</f>
        <v>2.5</v>
      </c>
      <c r="C18" s="562"/>
      <c r="D18" s="562"/>
      <c r="E18" s="557"/>
      <c r="F18" s="553">
        <v>0.5</v>
      </c>
      <c r="G18" s="553">
        <v>1</v>
      </c>
      <c r="H18" s="553">
        <v>1</v>
      </c>
      <c r="I18" s="556"/>
      <c r="J18" s="556"/>
      <c r="K18" s="556"/>
      <c r="L18" s="446"/>
    </row>
    <row r="19" spans="1:12" ht="12">
      <c r="A19" s="11"/>
      <c r="B19" s="448"/>
      <c r="C19" s="562"/>
      <c r="D19" s="562"/>
      <c r="E19" s="557"/>
      <c r="F19" s="557"/>
      <c r="G19" s="553"/>
      <c r="H19" s="553"/>
      <c r="I19" s="556"/>
      <c r="J19" s="556"/>
      <c r="K19" s="556"/>
      <c r="L19" s="446"/>
    </row>
    <row r="20" spans="1:12" ht="12">
      <c r="A20" s="11"/>
      <c r="B20" s="448"/>
      <c r="C20" s="560"/>
      <c r="D20" s="560"/>
      <c r="E20" s="557"/>
      <c r="G20" s="559"/>
      <c r="I20" s="556"/>
      <c r="J20" s="556"/>
      <c r="K20" s="556"/>
      <c r="L20" s="446"/>
    </row>
    <row r="21" spans="1:12" ht="12">
      <c r="A21" s="46" t="s">
        <v>874</v>
      </c>
      <c r="B21" s="445">
        <f>Trim!F71</f>
        <v>381.1</v>
      </c>
      <c r="C21" s="561"/>
      <c r="D21" s="561"/>
      <c r="E21" s="557"/>
      <c r="F21" s="553">
        <v>95.1</v>
      </c>
      <c r="G21" s="553">
        <v>94.7</v>
      </c>
      <c r="H21" s="563">
        <v>95</v>
      </c>
      <c r="I21" s="563">
        <v>96.3</v>
      </c>
      <c r="J21" s="556"/>
      <c r="K21" s="556"/>
      <c r="L21" s="446">
        <f>SUM(C21:K21)</f>
        <v>381.1</v>
      </c>
    </row>
    <row r="22" spans="1:12" ht="12">
      <c r="A22" s="11" t="s">
        <v>872</v>
      </c>
      <c r="B22" s="448">
        <f>SUM(C22:K22)</f>
        <v>4</v>
      </c>
      <c r="C22" s="553"/>
      <c r="D22" s="562"/>
      <c r="E22" s="557"/>
      <c r="F22" s="553">
        <v>1</v>
      </c>
      <c r="G22" s="553">
        <v>1</v>
      </c>
      <c r="H22" s="563">
        <v>1</v>
      </c>
      <c r="I22" s="563">
        <v>1</v>
      </c>
      <c r="J22" s="556"/>
      <c r="K22" s="556"/>
      <c r="L22" s="446"/>
    </row>
    <row r="23" spans="1:12" ht="12">
      <c r="A23" s="11"/>
      <c r="B23" s="448"/>
      <c r="C23" s="553"/>
      <c r="D23" s="562"/>
      <c r="E23" s="557"/>
      <c r="G23" s="553"/>
      <c r="I23" s="556"/>
      <c r="J23" s="556"/>
      <c r="K23" s="556"/>
      <c r="L23" s="446"/>
    </row>
    <row r="24" spans="1:12" ht="12">
      <c r="A24" s="11"/>
      <c r="B24" s="448"/>
      <c r="C24" s="560"/>
      <c r="D24" s="553"/>
      <c r="E24" s="572"/>
      <c r="F24" s="553"/>
      <c r="G24" s="560"/>
      <c r="H24" s="557"/>
      <c r="I24" s="556"/>
      <c r="J24" s="556"/>
      <c r="K24" s="556"/>
      <c r="L24" s="446"/>
    </row>
    <row r="25" spans="1:12" ht="12">
      <c r="A25" s="46" t="s">
        <v>875</v>
      </c>
      <c r="B25" s="445">
        <f>Trim!F72</f>
        <v>476.1</v>
      </c>
      <c r="C25" s="561"/>
      <c r="D25" s="557"/>
      <c r="E25" s="563">
        <v>96.4</v>
      </c>
      <c r="F25" s="553">
        <v>95.1</v>
      </c>
      <c r="G25" s="553">
        <v>95.4</v>
      </c>
      <c r="H25" s="553">
        <v>94.3</v>
      </c>
      <c r="I25" s="553">
        <v>94.9</v>
      </c>
      <c r="J25" s="556"/>
      <c r="K25" s="556"/>
      <c r="L25" s="446">
        <f>SUM(C25:K25)</f>
        <v>476.1</v>
      </c>
    </row>
    <row r="26" spans="1:12" ht="12">
      <c r="A26" s="11" t="s">
        <v>872</v>
      </c>
      <c r="B26" s="448">
        <f>SUM(E26:K26)</f>
        <v>5</v>
      </c>
      <c r="C26" s="561"/>
      <c r="D26" s="557"/>
      <c r="E26" s="563">
        <v>1</v>
      </c>
      <c r="F26" s="553">
        <v>1</v>
      </c>
      <c r="G26" s="553">
        <v>1</v>
      </c>
      <c r="H26" s="553">
        <v>1</v>
      </c>
      <c r="I26" s="553">
        <v>1</v>
      </c>
      <c r="J26" s="556"/>
      <c r="K26" s="556"/>
      <c r="L26" s="446"/>
    </row>
    <row r="27" spans="1:12" ht="12">
      <c r="A27" s="46" t="s">
        <v>876</v>
      </c>
      <c r="B27" s="448">
        <f>B15+B18+B22+B26</f>
        <v>18.5</v>
      </c>
      <c r="C27" s="553"/>
      <c r="D27" s="553"/>
      <c r="E27" s="564"/>
      <c r="F27" s="564"/>
      <c r="G27" s="564"/>
      <c r="H27" s="557"/>
      <c r="I27" s="565"/>
      <c r="J27" s="565"/>
      <c r="K27" s="565"/>
      <c r="L27" s="446">
        <f>B27</f>
        <v>18.5</v>
      </c>
    </row>
    <row r="28" spans="1:12" ht="12">
      <c r="A28" s="46"/>
      <c r="B28" s="448"/>
      <c r="C28" s="553"/>
      <c r="D28" s="557"/>
      <c r="E28" s="564"/>
      <c r="F28" s="564"/>
      <c r="G28" s="564"/>
      <c r="H28" s="564"/>
      <c r="I28" s="563"/>
      <c r="J28" s="565"/>
      <c r="K28" s="565"/>
      <c r="L28" s="446"/>
    </row>
    <row r="29" spans="1:12" ht="12">
      <c r="A29" s="443" t="s">
        <v>877</v>
      </c>
      <c r="B29" s="445">
        <f>Trim!F74</f>
        <v>379.7</v>
      </c>
      <c r="C29" s="561"/>
      <c r="D29" s="557"/>
      <c r="E29" s="557"/>
      <c r="F29" s="562">
        <v>95.2</v>
      </c>
      <c r="G29" s="553">
        <v>95.6</v>
      </c>
      <c r="H29" s="564">
        <v>95</v>
      </c>
      <c r="I29" s="571">
        <v>93.9</v>
      </c>
      <c r="J29" s="565"/>
      <c r="K29" s="565"/>
      <c r="L29" s="446">
        <f>SUM(C29:K29)</f>
        <v>379.70000000000005</v>
      </c>
    </row>
    <row r="30" spans="1:12" ht="12">
      <c r="A30" s="11" t="s">
        <v>872</v>
      </c>
      <c r="B30" s="448">
        <f>SUM(C30:K30)</f>
        <v>4</v>
      </c>
      <c r="C30" s="561"/>
      <c r="D30" s="557"/>
      <c r="E30" s="557"/>
      <c r="F30" s="553">
        <v>1</v>
      </c>
      <c r="G30" s="553">
        <v>1</v>
      </c>
      <c r="H30" s="564">
        <v>1</v>
      </c>
      <c r="I30" s="563">
        <v>1</v>
      </c>
      <c r="J30" s="565"/>
      <c r="K30" s="565"/>
      <c r="L30" s="446">
        <f>SUM(F30:K30)</f>
        <v>4</v>
      </c>
    </row>
    <row r="31" spans="2:12" ht="12">
      <c r="B31" s="1"/>
      <c r="C31" s="1"/>
      <c r="L31" s="511">
        <f>SUM(L14:L29)</f>
        <v>2706.3</v>
      </c>
    </row>
    <row r="32" spans="2:12" ht="12">
      <c r="B32" s="1"/>
      <c r="H32" s="443" t="s">
        <v>878</v>
      </c>
      <c r="I32" s="543">
        <v>11026</v>
      </c>
      <c r="J32" s="544"/>
      <c r="K32" s="449"/>
      <c r="L32" s="436"/>
    </row>
    <row r="33" spans="1:10" ht="12">
      <c r="A33" s="450" t="s">
        <v>407</v>
      </c>
      <c r="B33" s="20"/>
      <c r="C33" s="20"/>
      <c r="D33" s="18"/>
      <c r="H33" s="49" t="s">
        <v>879</v>
      </c>
      <c r="I33" s="451"/>
      <c r="J33" s="452"/>
    </row>
    <row r="34" spans="1:12" ht="12">
      <c r="A34" s="46" t="s">
        <v>880</v>
      </c>
      <c r="B34" s="440">
        <f>Trim!F89</f>
        <v>0</v>
      </c>
      <c r="C34" s="25"/>
      <c r="D34" s="25"/>
      <c r="E34" s="38"/>
      <c r="F34" s="38"/>
      <c r="G34" s="38"/>
      <c r="H34" s="38"/>
      <c r="I34" s="38"/>
      <c r="J34" s="38"/>
      <c r="K34" s="453"/>
      <c r="L34" s="442">
        <f>SUM(C34:K34)</f>
        <v>0</v>
      </c>
    </row>
    <row r="35" spans="1:12" ht="12">
      <c r="A35" s="11" t="s">
        <v>872</v>
      </c>
      <c r="B35" s="440">
        <v>0</v>
      </c>
      <c r="C35" s="454"/>
      <c r="D35" s="454"/>
      <c r="E35" s="455"/>
      <c r="F35" s="455"/>
      <c r="G35" s="455"/>
      <c r="H35" s="455"/>
      <c r="I35" s="455"/>
      <c r="J35" s="455"/>
      <c r="K35" s="456"/>
      <c r="L35" s="456"/>
    </row>
    <row r="36" spans="2:3" ht="12">
      <c r="B36" s="457"/>
      <c r="C36" s="1"/>
    </row>
    <row r="37" spans="1:12" ht="12">
      <c r="A37" s="18"/>
      <c r="B37" s="20"/>
      <c r="H37" s="443" t="s">
        <v>881</v>
      </c>
      <c r="I37" s="449"/>
      <c r="J37" s="449"/>
      <c r="K37" s="449"/>
      <c r="L37" s="436"/>
    </row>
    <row r="38" spans="1:5" ht="12">
      <c r="A38" s="18"/>
      <c r="B38" s="26"/>
      <c r="C38" s="26"/>
      <c r="D38" s="18"/>
      <c r="E38" s="18"/>
    </row>
    <row r="39" spans="3:12" ht="12">
      <c r="C39" s="431" t="s">
        <v>882</v>
      </c>
      <c r="D39" s="1"/>
      <c r="E39" s="1"/>
      <c r="G39" s="450"/>
      <c r="H39" s="458"/>
      <c r="I39" s="459"/>
      <c r="J39" s="460"/>
      <c r="K39" s="460"/>
      <c r="L39" s="461"/>
    </row>
    <row r="40" spans="2:12" ht="12">
      <c r="B40" s="1"/>
      <c r="C40" s="1"/>
      <c r="H40" s="458"/>
      <c r="I40" s="462"/>
      <c r="J40" s="462"/>
      <c r="K40" s="462"/>
      <c r="L40" s="463"/>
    </row>
    <row r="41" spans="2:11" ht="12">
      <c r="B41" s="1"/>
      <c r="G41" s="443"/>
      <c r="H41" s="18"/>
      <c r="I41" s="18"/>
      <c r="J41" s="18"/>
      <c r="K41" s="18"/>
    </row>
  </sheetData>
  <sheetProtection/>
  <printOptions/>
  <pageMargins left="0.7479166666666667" right="0.7479166666666667" top="0.9840277777777777" bottom="0.9840277777777777" header="0.5118055555555555" footer="0.5118055555555555"/>
  <pageSetup fitToHeight="1" fitToWidth="1" horizontalDpi="300" verticalDpi="300" orientation="landscape" scale="83"/>
  <headerFooter alignWithMargins="0">
    <oddFooter>&amp;C&amp;F&amp;R&amp;P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22">
      <selection activeCell="B30" sqref="B30"/>
    </sheetView>
  </sheetViews>
  <sheetFormatPr defaultColWidth="10.8515625" defaultRowHeight="12.75"/>
  <cols>
    <col min="1" max="1" width="17.7109375" style="8" customWidth="1"/>
    <col min="2" max="2" width="8.7109375" style="8" customWidth="1"/>
    <col min="3" max="3" width="15.00390625" style="8" customWidth="1"/>
    <col min="4" max="4" width="13.28125" style="8" customWidth="1"/>
    <col min="5" max="16384" width="10.8515625" style="8" customWidth="1"/>
  </cols>
  <sheetData>
    <row r="1" spans="1:7" ht="18.75" customHeight="1">
      <c r="A1" s="194" t="s">
        <v>883</v>
      </c>
      <c r="C1" s="210" t="s">
        <v>120</v>
      </c>
      <c r="D1" s="124">
        <f>Cal!D1</f>
        <v>139</v>
      </c>
      <c r="F1" s="464"/>
      <c r="G1" s="465"/>
    </row>
    <row r="2" spans="1:5" ht="17.25" customHeight="1">
      <c r="A2" s="88"/>
      <c r="B2" s="6" t="s">
        <v>130</v>
      </c>
      <c r="C2" s="7">
        <f ca="1">NOW()</f>
        <v>39995.763402777775</v>
      </c>
      <c r="D2" s="6" t="s">
        <v>132</v>
      </c>
      <c r="E2" s="9">
        <f ca="1">NOW()</f>
        <v>39995.763402777775</v>
      </c>
    </row>
    <row r="3" spans="1:5" ht="12.75" customHeight="1">
      <c r="A3" s="88"/>
      <c r="B3" s="6"/>
      <c r="C3" s="7"/>
      <c r="D3" s="6"/>
      <c r="E3" s="9"/>
    </row>
    <row r="4" spans="2:8" ht="12.75" customHeight="1">
      <c r="B4" s="49" t="s">
        <v>884</v>
      </c>
      <c r="C4" s="465"/>
      <c r="D4" s="434" t="s">
        <v>885</v>
      </c>
      <c r="F4" s="466"/>
      <c r="G4" s="465"/>
      <c r="H4" s="467"/>
    </row>
    <row r="5" spans="1:8" ht="12.75" customHeight="1">
      <c r="A5" s="468" t="s">
        <v>886</v>
      </c>
      <c r="B5" s="465">
        <f>1/B6</f>
        <v>-4.076707325027722</v>
      </c>
      <c r="C5" s="465" t="s">
        <v>887</v>
      </c>
      <c r="D5" s="465" t="s">
        <v>888</v>
      </c>
      <c r="E5" s="465" t="s">
        <v>889</v>
      </c>
      <c r="F5" s="466"/>
      <c r="G5" s="465"/>
      <c r="H5" s="467"/>
    </row>
    <row r="6" spans="1:5" ht="12.75" customHeight="1">
      <c r="A6" s="465"/>
      <c r="B6" s="465">
        <v>-0.245296</v>
      </c>
      <c r="C6" s="465" t="s">
        <v>890</v>
      </c>
      <c r="D6" s="465" t="s">
        <v>713</v>
      </c>
      <c r="E6" s="465"/>
    </row>
    <row r="7" ht="12.75" customHeight="1"/>
    <row r="8" spans="1:5" s="465" customFormat="1" ht="12.75" customHeight="1">
      <c r="A8" s="469" t="s">
        <v>714</v>
      </c>
      <c r="E8" s="465" t="s">
        <v>718</v>
      </c>
    </row>
    <row r="9" spans="1:4" s="465" customFormat="1" ht="12.75" customHeight="1">
      <c r="A9" s="465" t="s">
        <v>715</v>
      </c>
      <c r="B9" s="470">
        <v>21.7769</v>
      </c>
      <c r="C9" s="465" t="s">
        <v>716</v>
      </c>
      <c r="D9" s="465" t="s">
        <v>717</v>
      </c>
    </row>
    <row r="10" spans="1:4" s="465" customFormat="1" ht="12.75" customHeight="1">
      <c r="A10" s="465" t="s">
        <v>719</v>
      </c>
      <c r="B10" s="470">
        <v>33.6</v>
      </c>
      <c r="C10" s="465" t="s">
        <v>720</v>
      </c>
      <c r="D10" s="465" t="s">
        <v>717</v>
      </c>
    </row>
    <row r="11" spans="1:5" s="465" customFormat="1" ht="12.75" customHeight="1">
      <c r="A11" s="465" t="s">
        <v>721</v>
      </c>
      <c r="B11" s="471">
        <f>B10*D11</f>
        <v>32.47631935047362</v>
      </c>
      <c r="C11" s="465" t="s">
        <v>720</v>
      </c>
      <c r="D11" s="465">
        <f>35/36.211</f>
        <v>0.9665571235260004</v>
      </c>
      <c r="E11" s="465" t="s">
        <v>722</v>
      </c>
    </row>
    <row r="12" spans="1:4" s="465" customFormat="1" ht="12.75" customHeight="1">
      <c r="A12" s="465" t="s">
        <v>723</v>
      </c>
      <c r="B12" s="472">
        <v>1.022377</v>
      </c>
      <c r="C12" s="465" t="s">
        <v>724</v>
      </c>
      <c r="D12" s="465" t="s">
        <v>725</v>
      </c>
    </row>
    <row r="13" spans="1:4" s="465" customFormat="1" ht="12.75" customHeight="1">
      <c r="A13" s="465" t="s">
        <v>726</v>
      </c>
      <c r="B13" s="473">
        <v>51402</v>
      </c>
      <c r="C13" s="465" t="s">
        <v>201</v>
      </c>
      <c r="D13" s="465" t="s">
        <v>727</v>
      </c>
    </row>
    <row r="14" spans="1:4" s="465" customFormat="1" ht="12.75" customHeight="1">
      <c r="A14" s="465" t="s">
        <v>728</v>
      </c>
      <c r="B14" s="474">
        <f>B13/B12</f>
        <v>50276.95263097663</v>
      </c>
      <c r="C14" s="465" t="s">
        <v>311</v>
      </c>
      <c r="D14" s="465" t="s">
        <v>729</v>
      </c>
    </row>
    <row r="15" spans="1:4" s="465" customFormat="1" ht="12.75" customHeight="1">
      <c r="A15" s="465" t="s">
        <v>730</v>
      </c>
      <c r="C15" s="473">
        <v>-15</v>
      </c>
      <c r="D15" s="465" t="s">
        <v>311</v>
      </c>
    </row>
    <row r="16" spans="1:4" s="465" customFormat="1" ht="12.75" customHeight="1">
      <c r="A16" s="465" t="s">
        <v>731</v>
      </c>
      <c r="C16" s="473">
        <v>3361</v>
      </c>
      <c r="D16" s="465" t="s">
        <v>732</v>
      </c>
    </row>
    <row r="17" spans="1:4" s="465" customFormat="1" ht="12.75" customHeight="1">
      <c r="A17" s="474" t="s">
        <v>733</v>
      </c>
      <c r="B17" s="11" t="s">
        <v>734</v>
      </c>
      <c r="C17" s="11" t="s">
        <v>735</v>
      </c>
      <c r="D17" s="465" t="s">
        <v>736</v>
      </c>
    </row>
    <row r="18" spans="1:5" s="465" customFormat="1" ht="12.75" customHeight="1">
      <c r="A18" s="465" t="s">
        <v>737</v>
      </c>
      <c r="B18" s="474">
        <f>Cal!C41</f>
        <v>450</v>
      </c>
      <c r="C18" s="474">
        <f>(B18-B19)*B6</f>
        <v>729.056656</v>
      </c>
      <c r="D18" s="474">
        <f>B14+C18</f>
        <v>51006.00928697663</v>
      </c>
      <c r="E18" s="465" t="s">
        <v>738</v>
      </c>
    </row>
    <row r="19" spans="1:5" s="465" customFormat="1" ht="12.75" customHeight="1">
      <c r="A19" s="465" t="s">
        <v>739</v>
      </c>
      <c r="B19" s="474">
        <f>C16+(C15*B5)</f>
        <v>3422.1506098754157</v>
      </c>
      <c r="C19" s="11" t="s">
        <v>740</v>
      </c>
      <c r="D19" s="474">
        <f>B14</f>
        <v>50276.95263097663</v>
      </c>
      <c r="E19" s="465" t="s">
        <v>311</v>
      </c>
    </row>
    <row r="20" spans="1:5" s="465" customFormat="1" ht="12.75" customHeight="1">
      <c r="A20" s="465" t="s">
        <v>741</v>
      </c>
      <c r="B20" s="474">
        <f>Cal!C42</f>
        <v>3860</v>
      </c>
      <c r="C20" s="474">
        <f>(B20-B19)*B6</f>
        <v>-107.40270400000001</v>
      </c>
      <c r="D20" s="474">
        <f>B14+C20</f>
        <v>50169.54992697663</v>
      </c>
      <c r="E20" s="465" t="s">
        <v>742</v>
      </c>
    </row>
    <row r="21" spans="1:3" s="465" customFormat="1" ht="12.75" customHeight="1">
      <c r="A21" s="465" t="s">
        <v>743</v>
      </c>
      <c r="C21" s="475">
        <f>C18-C20</f>
        <v>836.45936</v>
      </c>
    </row>
    <row r="22" s="465" customFormat="1" ht="12.75" customHeight="1">
      <c r="C22" s="475"/>
    </row>
    <row r="23" s="465" customFormat="1" ht="12.75" customHeight="1">
      <c r="C23" s="475"/>
    </row>
    <row r="24" spans="1:5" s="465" customFormat="1" ht="12.75" customHeight="1">
      <c r="A24"/>
      <c r="B24"/>
      <c r="C24"/>
      <c r="D24"/>
      <c r="E24"/>
    </row>
    <row r="25" spans="1:9" s="465" customFormat="1" ht="12.75" customHeight="1">
      <c r="A25" s="469" t="s">
        <v>744</v>
      </c>
      <c r="F25"/>
      <c r="G25"/>
      <c r="H25"/>
      <c r="I25"/>
    </row>
    <row r="26" spans="1:9" s="465" customFormat="1" ht="12.75" customHeight="1">
      <c r="A26" s="465" t="s">
        <v>745</v>
      </c>
      <c r="B26" s="473">
        <v>51385</v>
      </c>
      <c r="C26" s="465" t="s">
        <v>126</v>
      </c>
      <c r="D26" s="476" t="s">
        <v>746</v>
      </c>
      <c r="H26"/>
      <c r="I26"/>
    </row>
    <row r="27" spans="1:9" s="465" customFormat="1" ht="12.75" customHeight="1">
      <c r="A27" s="465" t="s">
        <v>747</v>
      </c>
      <c r="B27" s="473">
        <v>50997</v>
      </c>
      <c r="C27" s="465" t="s">
        <v>311</v>
      </c>
      <c r="D27" s="477" t="s">
        <v>71</v>
      </c>
      <c r="H27"/>
      <c r="I27"/>
    </row>
    <row r="28" spans="1:9" s="465" customFormat="1" ht="12.75" customHeight="1">
      <c r="A28" s="465" t="s">
        <v>748</v>
      </c>
      <c r="B28" s="474">
        <f>B27-C21</f>
        <v>50160.54064</v>
      </c>
      <c r="C28" s="465" t="s">
        <v>311</v>
      </c>
      <c r="D28" s="476"/>
      <c r="H28"/>
      <c r="I28"/>
    </row>
    <row r="29" spans="1:9" s="465" customFormat="1" ht="12.75" customHeight="1">
      <c r="A29" s="465" t="s">
        <v>749</v>
      </c>
      <c r="B29" s="478">
        <v>1.0275</v>
      </c>
      <c r="C29" s="465" t="s">
        <v>750</v>
      </c>
      <c r="H29"/>
      <c r="I29"/>
    </row>
    <row r="30" spans="1:9" s="465" customFormat="1" ht="12.75" customHeight="1">
      <c r="A30" s="465" t="s">
        <v>751</v>
      </c>
      <c r="B30" s="569">
        <v>285.35330518998285</v>
      </c>
      <c r="C30" s="465" t="s">
        <v>311</v>
      </c>
      <c r="H30"/>
      <c r="I30"/>
    </row>
    <row r="31" spans="1:9" s="465" customFormat="1" ht="12.75" customHeight="1">
      <c r="A31" s="465" t="s">
        <v>752</v>
      </c>
      <c r="B31" s="474">
        <f>B28+B30</f>
        <v>50445.89394518998</v>
      </c>
      <c r="C31" s="465" t="s">
        <v>311</v>
      </c>
      <c r="D31" s="465" t="s">
        <v>753</v>
      </c>
      <c r="E31" s="465">
        <v>11.296</v>
      </c>
      <c r="F31" s="465" t="s">
        <v>316</v>
      </c>
      <c r="H31"/>
      <c r="I31"/>
    </row>
    <row r="32" spans="1:7" s="465" customFormat="1" ht="12.75" customHeight="1">
      <c r="A32" s="431" t="s">
        <v>754</v>
      </c>
      <c r="B32" s="479">
        <f>(B29*B31-B26)/(1-(B29/11.296))</f>
        <v>492.9999999999873</v>
      </c>
      <c r="C32" s="465" t="s">
        <v>126</v>
      </c>
      <c r="D32" s="465" t="s">
        <v>755</v>
      </c>
      <c r="E32" s="474">
        <f>B32/E31</f>
        <v>43.643767705381315</v>
      </c>
      <c r="F32" s="465" t="s">
        <v>311</v>
      </c>
      <c r="G32" s="8"/>
    </row>
    <row r="33" spans="1:7" s="465" customFormat="1" ht="12.75" customHeight="1">
      <c r="A33" s="465" t="s">
        <v>756</v>
      </c>
      <c r="B33" s="474">
        <f>B26+B32</f>
        <v>51877.999999999985</v>
      </c>
      <c r="C33" s="465" t="s">
        <v>126</v>
      </c>
      <c r="G33" s="8"/>
    </row>
    <row r="34" spans="1:3" s="465" customFormat="1" ht="12.75" customHeight="1">
      <c r="A34" s="465" t="s">
        <v>757</v>
      </c>
      <c r="B34" s="474">
        <f>B27+B32/E31</f>
        <v>51040.643767705384</v>
      </c>
      <c r="C34" s="465" t="s">
        <v>311</v>
      </c>
    </row>
    <row r="35" s="465" customFormat="1" ht="12.75" customHeight="1"/>
    <row r="36" spans="1:5" s="465" customFormat="1" ht="12.75" customHeight="1">
      <c r="A36" s="49" t="s">
        <v>758</v>
      </c>
      <c r="B36" s="8"/>
      <c r="C36" s="8"/>
      <c r="E36" s="8"/>
    </row>
    <row r="37" spans="1:7" s="465" customFormat="1" ht="12.75" customHeight="1">
      <c r="A37" s="474" t="s">
        <v>733</v>
      </c>
      <c r="B37" s="11" t="s">
        <v>734</v>
      </c>
      <c r="C37" s="11" t="s">
        <v>735</v>
      </c>
      <c r="D37" s="465" t="s">
        <v>736</v>
      </c>
      <c r="F37" s="8"/>
      <c r="G37" s="8"/>
    </row>
    <row r="38" spans="1:5" s="465" customFormat="1" ht="12.75" customHeight="1">
      <c r="A38" s="465" t="s">
        <v>759</v>
      </c>
      <c r="B38" s="474">
        <f>Cal!C41</f>
        <v>450</v>
      </c>
      <c r="C38" s="474">
        <f>(B38-B39)*B6</f>
        <v>551.1060548100204</v>
      </c>
      <c r="D38" s="474">
        <f>D39+C38+E32</f>
        <v>51040.643767705384</v>
      </c>
      <c r="E38" s="465" t="s">
        <v>311</v>
      </c>
    </row>
    <row r="39" spans="1:5" ht="12.75" customHeight="1">
      <c r="A39" s="465" t="s">
        <v>760</v>
      </c>
      <c r="B39" s="474">
        <f>((D39-B28)*B5)+B40</f>
        <v>2696.6980905111395</v>
      </c>
      <c r="C39" s="480">
        <v>0</v>
      </c>
      <c r="D39" s="474">
        <f>B31</f>
        <v>50445.89394518998</v>
      </c>
      <c r="E39" s="465" t="s">
        <v>311</v>
      </c>
    </row>
    <row r="40" spans="1:5" ht="12.75" customHeight="1">
      <c r="A40" s="465" t="s">
        <v>761</v>
      </c>
      <c r="B40" s="474">
        <f>Cal!C42</f>
        <v>3860</v>
      </c>
      <c r="C40" s="474">
        <f>(B40-B39)*B6</f>
        <v>-285.3533051899795</v>
      </c>
      <c r="D40" s="474">
        <f>D38-(C38-C40)</f>
        <v>50204.18440770538</v>
      </c>
      <c r="E40" s="465" t="s">
        <v>311</v>
      </c>
    </row>
    <row r="41" spans="1:3" s="465" customFormat="1" ht="12.75" customHeight="1">
      <c r="A41" s="465" t="s">
        <v>743</v>
      </c>
      <c r="C41" s="475">
        <f>C38-C40</f>
        <v>836.4593599999998</v>
      </c>
    </row>
    <row r="42" spans="1:3" s="465" customFormat="1" ht="12.75" customHeight="1">
      <c r="A42" s="465" t="s">
        <v>762</v>
      </c>
      <c r="B42" s="545">
        <f>total_scale_weight</f>
        <v>51904</v>
      </c>
      <c r="C42" s="465" t="s">
        <v>126</v>
      </c>
    </row>
    <row r="43" spans="1:3" s="465" customFormat="1" ht="12.75" customHeight="1">
      <c r="A43" s="465" t="s">
        <v>763</v>
      </c>
      <c r="B43" s="474">
        <f>B42/B29</f>
        <v>50514.84184914841</v>
      </c>
      <c r="C43" s="465" t="s">
        <v>311</v>
      </c>
    </row>
    <row r="44" spans="1:3" s="465" customFormat="1" ht="12.75" customHeight="1">
      <c r="A44" s="465" t="s">
        <v>764</v>
      </c>
      <c r="B44" s="474">
        <f>B39+(B43-D39)*B5</f>
        <v>2415.6176653984876</v>
      </c>
      <c r="C44" s="465" t="s">
        <v>732</v>
      </c>
    </row>
    <row r="45" spans="1:3" s="465" customFormat="1" ht="12">
      <c r="A45" s="465" t="s">
        <v>956</v>
      </c>
      <c r="B45" s="465">
        <f>B43+(B38-B44)*B6+E32</f>
        <v>51040.643767705384</v>
      </c>
      <c r="C45" s="465" t="s">
        <v>311</v>
      </c>
    </row>
    <row r="46" s="465" customFormat="1" ht="12"/>
    <row r="47" s="465" customFormat="1" ht="12"/>
    <row r="48" s="465" customFormat="1" ht="12"/>
    <row r="49" s="465" customFormat="1" ht="12"/>
    <row r="50" s="465" customFormat="1" ht="12"/>
    <row r="51" s="465" customFormat="1" ht="12"/>
    <row r="52" s="465" customFormat="1" ht="12"/>
    <row r="53" s="465" customFormat="1" ht="12"/>
    <row r="54" s="465" customFormat="1" ht="12"/>
    <row r="55" s="465" customFormat="1" ht="12"/>
    <row r="56" s="465" customFormat="1" ht="12"/>
    <row r="57" s="465" customFormat="1" ht="12"/>
    <row r="58" s="465" customFormat="1" ht="12"/>
    <row r="59" s="465" customFormat="1" ht="12"/>
    <row r="60" s="465" customFormat="1" ht="12"/>
    <row r="61" s="465" customFormat="1" ht="12"/>
  </sheetData>
  <sheetProtection/>
  <printOptions/>
  <pageMargins left="0.7479166666666667" right="0.7479166666666667" top="0.9840277777777777" bottom="0.9840277777777777" header="0.5118055555555555" footer="0.5"/>
  <pageSetup fitToHeight="1" fitToWidth="1" horizontalDpi="300" verticalDpi="300" orientation="portrait"/>
  <headerFooter alignWithMargins="0">
    <oddFooter>&amp;C&amp;F&amp;R&amp;P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8"/>
  <sheetViews>
    <sheetView zoomScaleSheetLayoutView="100" zoomScalePageLayoutView="0" workbookViewId="0" topLeftCell="A1">
      <selection activeCell="B8" sqref="B8"/>
    </sheetView>
  </sheetViews>
  <sheetFormatPr defaultColWidth="11.57421875" defaultRowHeight="12.75"/>
  <cols>
    <col min="1" max="1" width="11.421875" style="0" customWidth="1"/>
    <col min="2" max="2" width="91.28125" style="0" customWidth="1"/>
    <col min="3" max="16384" width="8.8515625" style="0" customWidth="1"/>
  </cols>
  <sheetData>
    <row r="1" ht="12">
      <c r="A1" s="431" t="s">
        <v>765</v>
      </c>
    </row>
    <row r="2" spans="1:2" ht="15">
      <c r="A2" s="101" t="s">
        <v>766</v>
      </c>
      <c r="B2" s="124">
        <f>Cal!D1</f>
        <v>139</v>
      </c>
    </row>
    <row r="3" spans="1:2" ht="12">
      <c r="A3" t="s">
        <v>767</v>
      </c>
      <c r="B3" t="s">
        <v>768</v>
      </c>
    </row>
    <row r="4" spans="1:2" ht="12">
      <c r="A4" s="546">
        <v>39310</v>
      </c>
      <c r="B4" t="s">
        <v>957</v>
      </c>
    </row>
    <row r="5" spans="1:2" ht="12">
      <c r="A5" s="546">
        <v>39322</v>
      </c>
      <c r="B5" t="s">
        <v>958</v>
      </c>
    </row>
    <row r="6" spans="1:2" ht="12">
      <c r="A6" s="546">
        <v>39377</v>
      </c>
      <c r="B6" t="s">
        <v>959</v>
      </c>
    </row>
    <row r="8" spans="1:2" ht="12">
      <c r="A8" s="568">
        <v>39792</v>
      </c>
      <c r="B8" t="s">
        <v>70</v>
      </c>
    </row>
  </sheetData>
  <sheetProtection/>
  <printOptions/>
  <pageMargins left="0.747916666666667" right="0.747916666666667" top="0.984027777777778" bottom="0.984027777777778" header="0.511805555555556" footer="0.5"/>
  <pageSetup fitToHeight="2" fitToWidth="1" horizontalDpi="300" verticalDpi="300" orientation="landscape"/>
  <headerFooter alignWithMargins="0">
    <oddFooter>&amp;C&amp;F&amp;R&amp;P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36"/>
  <sheetViews>
    <sheetView zoomScaleSheetLayoutView="100" zoomScalePageLayoutView="0" workbookViewId="0" topLeftCell="A4">
      <selection activeCell="B21" sqref="B21"/>
    </sheetView>
  </sheetViews>
  <sheetFormatPr defaultColWidth="11.421875" defaultRowHeight="12.75"/>
  <cols>
    <col min="1" max="1" width="10.421875" style="0" customWidth="1"/>
    <col min="2" max="2" width="95.7109375" style="0" customWidth="1"/>
    <col min="3" max="16384" width="8.8515625" style="0" customWidth="1"/>
  </cols>
  <sheetData>
    <row r="1" ht="15">
      <c r="A1" s="194" t="s">
        <v>769</v>
      </c>
    </row>
    <row r="2" spans="1:2" ht="15">
      <c r="A2" s="210" t="s">
        <v>770</v>
      </c>
      <c r="B2" s="124">
        <f>Trim!C2</f>
        <v>139</v>
      </c>
    </row>
    <row r="3" spans="1:2" ht="12">
      <c r="A3" t="s">
        <v>767</v>
      </c>
      <c r="B3" t="s">
        <v>768</v>
      </c>
    </row>
    <row r="4" ht="12">
      <c r="A4" s="481">
        <v>39787</v>
      </c>
    </row>
    <row r="6" ht="12">
      <c r="A6" s="481"/>
    </row>
    <row r="7" spans="1:2" ht="12">
      <c r="A7" s="552">
        <v>39791</v>
      </c>
      <c r="B7" t="s">
        <v>61</v>
      </c>
    </row>
    <row r="8" spans="1:2" ht="12">
      <c r="A8" s="481"/>
      <c r="B8" t="s">
        <v>65</v>
      </c>
    </row>
    <row r="9" ht="12">
      <c r="B9" t="s">
        <v>66</v>
      </c>
    </row>
    <row r="10" ht="12">
      <c r="B10" t="s">
        <v>69</v>
      </c>
    </row>
    <row r="12" spans="1:2" ht="12">
      <c r="A12" s="575">
        <v>39793</v>
      </c>
      <c r="B12" s="574" t="s">
        <v>78</v>
      </c>
    </row>
    <row r="13" ht="12">
      <c r="B13" t="s">
        <v>89</v>
      </c>
    </row>
    <row r="14" ht="12">
      <c r="B14" t="s">
        <v>79</v>
      </c>
    </row>
    <row r="15" ht="12">
      <c r="B15" t="s">
        <v>50</v>
      </c>
    </row>
    <row r="16" ht="12">
      <c r="B16" t="s">
        <v>51</v>
      </c>
    </row>
    <row r="17" ht="12">
      <c r="B17" t="s">
        <v>90</v>
      </c>
    </row>
    <row r="18" ht="12">
      <c r="B18" t="s">
        <v>12</v>
      </c>
    </row>
    <row r="19" ht="12">
      <c r="B19" t="s">
        <v>92</v>
      </c>
    </row>
    <row r="20" ht="12">
      <c r="B20" t="s">
        <v>93</v>
      </c>
    </row>
    <row r="21" ht="12">
      <c r="B21" t="s">
        <v>5</v>
      </c>
    </row>
    <row r="22" ht="12">
      <c r="B22" t="s">
        <v>80</v>
      </c>
    </row>
    <row r="23" ht="12">
      <c r="B23" t="s">
        <v>81</v>
      </c>
    </row>
    <row r="24" ht="12">
      <c r="B24" t="s">
        <v>82</v>
      </c>
    </row>
    <row r="25" ht="12">
      <c r="B25" t="s">
        <v>91</v>
      </c>
    </row>
    <row r="26" ht="12">
      <c r="B26" t="s">
        <v>83</v>
      </c>
    </row>
    <row r="27" ht="12">
      <c r="B27" t="s">
        <v>84</v>
      </c>
    </row>
    <row r="28" ht="12">
      <c r="B28" t="s">
        <v>85</v>
      </c>
    </row>
    <row r="29" ht="12">
      <c r="B29" t="s">
        <v>0</v>
      </c>
    </row>
    <row r="30" ht="12">
      <c r="B30" t="s">
        <v>2</v>
      </c>
    </row>
    <row r="31" ht="12">
      <c r="B31" t="s">
        <v>3</v>
      </c>
    </row>
    <row r="32" ht="12">
      <c r="B32" t="s">
        <v>4</v>
      </c>
    </row>
    <row r="33" ht="12">
      <c r="B33" t="s">
        <v>86</v>
      </c>
    </row>
    <row r="34" ht="12">
      <c r="B34" t="s">
        <v>87</v>
      </c>
    </row>
    <row r="35" ht="12">
      <c r="B35" t="s">
        <v>1</v>
      </c>
    </row>
    <row r="36" ht="12">
      <c r="B36" t="s">
        <v>88</v>
      </c>
    </row>
  </sheetData>
  <sheetProtection/>
  <printOptions/>
  <pageMargins left="0.7479166666666667" right="0.7479166666666667" top="0.9840277777777777" bottom="0.9840277777777777" header="0.5118055555555555" footer="0.5"/>
  <pageSetup fitToHeight="2" fitToWidth="1" horizontalDpi="300" verticalDpi="300" orientation="portrait" scale="85"/>
  <headerFooter alignWithMargins="0">
    <oddFooter>&amp;C&amp;F&amp;R&amp;P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2"/>
  <sheetViews>
    <sheetView zoomScalePageLayoutView="0" workbookViewId="0" topLeftCell="A1">
      <selection activeCell="G11" sqref="G11:L11"/>
    </sheetView>
  </sheetViews>
  <sheetFormatPr defaultColWidth="11.57421875" defaultRowHeight="12.75"/>
  <cols>
    <col min="1" max="1" width="15.00390625" style="0" customWidth="1"/>
    <col min="2" max="2" width="14.8515625" style="0" customWidth="1"/>
    <col min="3" max="3" width="13.421875" style="0" customWidth="1"/>
    <col min="4" max="4" width="14.00390625" style="0" customWidth="1"/>
    <col min="5" max="5" width="14.8515625" style="0" customWidth="1"/>
    <col min="6" max="6" width="11.140625" style="0" customWidth="1"/>
    <col min="7" max="7" width="11.421875" style="0" customWidth="1"/>
    <col min="8" max="8" width="15.421875" style="0" customWidth="1"/>
    <col min="9" max="16384" width="8.8515625" style="0" customWidth="1"/>
  </cols>
  <sheetData>
    <row r="1" spans="1:12" ht="15">
      <c r="A1" s="194" t="s">
        <v>186</v>
      </c>
      <c r="C1" s="6" t="s">
        <v>771</v>
      </c>
      <c r="D1" s="482">
        <v>39300</v>
      </c>
      <c r="G1" s="431" t="s">
        <v>962</v>
      </c>
      <c r="H1" s="484"/>
      <c r="I1" s="431"/>
      <c r="J1" s="431"/>
      <c r="K1" s="485"/>
      <c r="L1" s="431"/>
    </row>
    <row r="2" spans="1:12" ht="16.5">
      <c r="A2" s="210" t="s">
        <v>120</v>
      </c>
      <c r="B2" s="483">
        <f>Cal!D1</f>
        <v>139</v>
      </c>
      <c r="G2" s="595" t="s">
        <v>969</v>
      </c>
      <c r="H2" s="595"/>
      <c r="I2" s="594" t="s">
        <v>966</v>
      </c>
      <c r="J2" s="594"/>
      <c r="K2" s="465"/>
      <c r="L2" s="465"/>
    </row>
    <row r="3" spans="1:12" ht="12">
      <c r="A3" s="431" t="s">
        <v>189</v>
      </c>
      <c r="B3" s="35" t="s">
        <v>772</v>
      </c>
      <c r="C3" s="35" t="s">
        <v>773</v>
      </c>
      <c r="G3" s="492" t="s">
        <v>789</v>
      </c>
      <c r="H3" s="596" t="s">
        <v>790</v>
      </c>
      <c r="I3" s="596"/>
      <c r="J3" s="596" t="s">
        <v>791</v>
      </c>
      <c r="K3" s="596"/>
      <c r="L3" s="465"/>
    </row>
    <row r="4" spans="1:12" ht="12">
      <c r="A4" s="431" t="s">
        <v>24</v>
      </c>
      <c r="B4" s="35" t="s">
        <v>963</v>
      </c>
      <c r="C4" s="35" t="s">
        <v>964</v>
      </c>
      <c r="D4" s="431" t="s">
        <v>965</v>
      </c>
      <c r="E4" s="465"/>
      <c r="F4" s="465"/>
      <c r="G4" s="492" t="s">
        <v>793</v>
      </c>
      <c r="H4" s="492" t="s">
        <v>794</v>
      </c>
      <c r="I4" s="492" t="s">
        <v>795</v>
      </c>
      <c r="J4" s="492" t="s">
        <v>794</v>
      </c>
      <c r="K4" s="492" t="s">
        <v>795</v>
      </c>
      <c r="L4" s="465"/>
    </row>
    <row r="5" spans="1:12" ht="12">
      <c r="A5" s="431" t="s">
        <v>25</v>
      </c>
      <c r="B5" s="487">
        <v>214721</v>
      </c>
      <c r="C5" s="487" t="s">
        <v>967</v>
      </c>
      <c r="D5" s="594" t="s">
        <v>968</v>
      </c>
      <c r="E5" s="594"/>
      <c r="F5" s="488">
        <v>2.495</v>
      </c>
      <c r="G5" s="38">
        <v>0</v>
      </c>
      <c r="H5" s="494">
        <v>-0.012</v>
      </c>
      <c r="I5" s="494">
        <v>-0.002</v>
      </c>
      <c r="J5" s="494">
        <v>-0.053</v>
      </c>
      <c r="K5" s="494">
        <v>-0.036</v>
      </c>
      <c r="L5" s="465"/>
    </row>
    <row r="6" spans="1:12" ht="12">
      <c r="A6" s="431" t="s">
        <v>26</v>
      </c>
      <c r="B6" s="490">
        <v>38423</v>
      </c>
      <c r="C6" s="490" t="s">
        <v>967</v>
      </c>
      <c r="D6" s="594" t="s">
        <v>788</v>
      </c>
      <c r="E6" s="594"/>
      <c r="F6" s="491">
        <v>1.487135887146E-07</v>
      </c>
      <c r="G6" s="38">
        <v>300</v>
      </c>
      <c r="H6" s="494">
        <v>5.99</v>
      </c>
      <c r="I6" s="494">
        <v>6.041</v>
      </c>
      <c r="J6" s="494">
        <v>5.951</v>
      </c>
      <c r="K6" s="494">
        <v>6.002</v>
      </c>
      <c r="L6" s="465"/>
    </row>
    <row r="7" spans="1:12" ht="12">
      <c r="A7" s="431" t="s">
        <v>27</v>
      </c>
      <c r="B7" s="35">
        <v>128</v>
      </c>
      <c r="C7" s="35">
        <v>64</v>
      </c>
      <c r="D7" s="594" t="s">
        <v>792</v>
      </c>
      <c r="E7" s="594"/>
      <c r="F7" s="465">
        <v>6724335.07014028</v>
      </c>
      <c r="G7" s="38">
        <v>600</v>
      </c>
      <c r="H7" s="494">
        <v>12.009</v>
      </c>
      <c r="I7" s="494">
        <v>12.062</v>
      </c>
      <c r="J7" s="494">
        <v>11.966</v>
      </c>
      <c r="K7" s="494">
        <v>12.019</v>
      </c>
      <c r="L7" s="465"/>
    </row>
    <row r="8" spans="1:12" ht="12">
      <c r="A8" s="493" t="s">
        <v>29</v>
      </c>
      <c r="B8" s="35">
        <v>14.7</v>
      </c>
      <c r="C8" s="35" t="s">
        <v>796</v>
      </c>
      <c r="D8" t="s">
        <v>797</v>
      </c>
      <c r="F8" s="474">
        <f>2^24</f>
        <v>16777216</v>
      </c>
      <c r="G8" s="38">
        <v>900</v>
      </c>
      <c r="H8" s="494">
        <v>18.014</v>
      </c>
      <c r="I8" s="494">
        <v>18.053</v>
      </c>
      <c r="J8" s="494">
        <v>17.977</v>
      </c>
      <c r="K8" s="494">
        <v>18.012</v>
      </c>
      <c r="L8" s="465"/>
    </row>
    <row r="9" spans="1:12" ht="12">
      <c r="A9" s="431" t="s">
        <v>30</v>
      </c>
      <c r="B9" s="35">
        <v>0</v>
      </c>
      <c r="C9" s="35" t="s">
        <v>798</v>
      </c>
      <c r="D9" s="465" t="s">
        <v>799</v>
      </c>
      <c r="F9" s="495" t="s">
        <v>800</v>
      </c>
      <c r="G9" s="38">
        <v>1200</v>
      </c>
      <c r="H9" s="494">
        <v>23.986</v>
      </c>
      <c r="I9" s="494">
        <v>24.017</v>
      </c>
      <c r="J9" s="494">
        <v>23.942</v>
      </c>
      <c r="K9" s="494">
        <v>23.962</v>
      </c>
      <c r="L9" s="465"/>
    </row>
    <row r="10" spans="1:12" ht="12">
      <c r="A10" s="594"/>
      <c r="B10" s="594"/>
      <c r="C10" s="465"/>
      <c r="D10" s="465"/>
      <c r="E10" s="465"/>
      <c r="F10" s="465"/>
      <c r="G10" s="38">
        <v>1500</v>
      </c>
      <c r="H10" s="494">
        <v>29.949</v>
      </c>
      <c r="I10" s="494"/>
      <c r="J10" s="494">
        <v>29.893</v>
      </c>
      <c r="K10" s="494"/>
      <c r="L10" s="465"/>
    </row>
    <row r="11" spans="1:12" ht="12">
      <c r="A11" s="594"/>
      <c r="B11" s="594"/>
      <c r="C11" s="465"/>
      <c r="D11" s="465"/>
      <c r="E11" s="465"/>
      <c r="F11" s="465"/>
      <c r="G11" s="594" t="s">
        <v>809</v>
      </c>
      <c r="H11" s="594"/>
      <c r="I11" s="594"/>
      <c r="J11" s="594"/>
      <c r="K11" s="594"/>
      <c r="L11" s="594"/>
    </row>
    <row r="12" spans="1:12" ht="12">
      <c r="A12" s="431" t="s">
        <v>801</v>
      </c>
      <c r="B12" s="465"/>
      <c r="C12" s="465"/>
      <c r="D12" s="465"/>
      <c r="E12" s="465"/>
      <c r="F12" s="465"/>
      <c r="G12" s="492" t="s">
        <v>793</v>
      </c>
      <c r="H12" s="492" t="s">
        <v>810</v>
      </c>
      <c r="I12" s="499"/>
      <c r="J12" s="492" t="s">
        <v>810</v>
      </c>
      <c r="K12" s="499"/>
      <c r="L12" s="465"/>
    </row>
    <row r="13" spans="1:12" ht="12">
      <c r="A13" s="496" t="s">
        <v>802</v>
      </c>
      <c r="B13" s="496" t="s">
        <v>138</v>
      </c>
      <c r="C13" s="496" t="s">
        <v>803</v>
      </c>
      <c r="D13" s="497" t="s">
        <v>804</v>
      </c>
      <c r="E13" s="465"/>
      <c r="F13" s="465"/>
      <c r="G13" s="38">
        <v>0</v>
      </c>
      <c r="H13" s="500">
        <f>((H5+I5)/2)/2</f>
        <v>-0.0035</v>
      </c>
      <c r="I13" s="38"/>
      <c r="J13" s="500">
        <f>((J5+K5)/2)/2</f>
        <v>-0.02225</v>
      </c>
      <c r="K13" s="499"/>
      <c r="L13" s="465"/>
    </row>
    <row r="14" spans="1:12" ht="12">
      <c r="A14" s="498" t="s">
        <v>805</v>
      </c>
      <c r="B14" s="498" t="s">
        <v>806</v>
      </c>
      <c r="C14" s="498" t="s">
        <v>807</v>
      </c>
      <c r="D14" s="498"/>
      <c r="E14" s="465"/>
      <c r="F14" s="465"/>
      <c r="G14" s="38">
        <v>300</v>
      </c>
      <c r="H14" s="500">
        <f>((H6+I6)/2)/2</f>
        <v>3.00775</v>
      </c>
      <c r="I14" s="38"/>
      <c r="J14" s="500">
        <f>((J6+K6)/2)/2</f>
        <v>2.98825</v>
      </c>
      <c r="K14" s="499"/>
      <c r="L14" s="465"/>
    </row>
    <row r="15" spans="1:12" ht="12">
      <c r="A15">
        <v>0</v>
      </c>
      <c r="D15" s="465" t="s">
        <v>808</v>
      </c>
      <c r="G15" s="38">
        <v>600</v>
      </c>
      <c r="H15" s="500">
        <f>((H7+I7)/2)/2</f>
        <v>6.0177499999999995</v>
      </c>
      <c r="I15" s="38"/>
      <c r="J15" s="500">
        <f>((J7+K7)/2)/2</f>
        <v>5.99625</v>
      </c>
      <c r="K15" s="499"/>
      <c r="L15" s="465"/>
    </row>
    <row r="16" spans="1:12" ht="12">
      <c r="A16">
        <v>100</v>
      </c>
      <c r="D16" s="465"/>
      <c r="G16" s="38">
        <v>900</v>
      </c>
      <c r="H16" s="500">
        <f>((H8+I8)/2)/2</f>
        <v>9.01675</v>
      </c>
      <c r="I16" s="38"/>
      <c r="J16" s="500">
        <f>((J8+K8)/2)/2</f>
        <v>8.997250000000001</v>
      </c>
      <c r="K16" s="499"/>
      <c r="L16" s="465"/>
    </row>
    <row r="17" spans="1:12" ht="12">
      <c r="A17">
        <v>200</v>
      </c>
      <c r="D17" s="465"/>
      <c r="G17" s="38">
        <v>1200</v>
      </c>
      <c r="H17" s="500">
        <f>((H9+I9)/2)/2</f>
        <v>12.00075</v>
      </c>
      <c r="I17" s="38"/>
      <c r="J17" s="500">
        <f>((J9+K9)/2)/2</f>
        <v>11.975999999999999</v>
      </c>
      <c r="K17" s="499"/>
      <c r="L17" s="465"/>
    </row>
    <row r="18" spans="1:12" ht="12">
      <c r="A18" s="486">
        <v>400</v>
      </c>
      <c r="B18" s="465"/>
      <c r="D18" s="465"/>
      <c r="G18" s="38">
        <v>1500</v>
      </c>
      <c r="H18" s="500">
        <f>(H10)/2</f>
        <v>14.9745</v>
      </c>
      <c r="I18" s="38"/>
      <c r="J18" s="500">
        <f>(J10)/2</f>
        <v>14.9465</v>
      </c>
      <c r="K18" s="499"/>
      <c r="L18" s="465"/>
    </row>
    <row r="19" spans="1:12" ht="12">
      <c r="A19">
        <v>600</v>
      </c>
      <c r="B19" s="465"/>
      <c r="D19" s="465"/>
      <c r="G19" s="465"/>
      <c r="H19" s="465"/>
      <c r="I19" s="465"/>
      <c r="J19" s="465"/>
      <c r="K19" s="465"/>
      <c r="L19" s="465"/>
    </row>
    <row r="20" spans="1:12" ht="12">
      <c r="A20">
        <v>800</v>
      </c>
      <c r="B20" s="465"/>
      <c r="D20" s="465"/>
      <c r="G20" s="431" t="s">
        <v>811</v>
      </c>
      <c r="H20" s="465"/>
      <c r="I20" s="431" t="s">
        <v>812</v>
      </c>
      <c r="J20" s="465"/>
      <c r="K20" s="465"/>
      <c r="L20" s="465"/>
    </row>
    <row r="21" spans="1:12" ht="12">
      <c r="A21">
        <v>1000</v>
      </c>
      <c r="G21" s="492" t="s">
        <v>789</v>
      </c>
      <c r="H21" s="492" t="s">
        <v>813</v>
      </c>
      <c r="I21" s="492" t="s">
        <v>789</v>
      </c>
      <c r="J21" s="492" t="s">
        <v>813</v>
      </c>
      <c r="K21" s="465"/>
      <c r="L21" s="465"/>
    </row>
    <row r="22" spans="1:12" ht="12">
      <c r="A22">
        <v>1200</v>
      </c>
      <c r="G22" s="492" t="s">
        <v>793</v>
      </c>
      <c r="H22" s="492" t="s">
        <v>814</v>
      </c>
      <c r="I22" s="492" t="s">
        <v>793</v>
      </c>
      <c r="J22" s="492" t="s">
        <v>814</v>
      </c>
      <c r="K22" s="465"/>
      <c r="L22" s="465"/>
    </row>
    <row r="23" spans="1:12" ht="12">
      <c r="A23">
        <v>1400</v>
      </c>
      <c r="G23" s="38">
        <v>0</v>
      </c>
      <c r="H23" s="501">
        <f aca="true" t="shared" si="0" ref="H23:H28">(H13*$B$7)*$F$7/1000</f>
        <v>-3012.5021114228457</v>
      </c>
      <c r="I23" s="38">
        <v>0</v>
      </c>
      <c r="J23" s="501">
        <f aca="true" t="shared" si="1" ref="J23:J28">(J13*$B$7)*$F$7/1000</f>
        <v>-19150.906279759514</v>
      </c>
      <c r="K23" s="465"/>
      <c r="L23" s="465"/>
    </row>
    <row r="24" spans="1:12" ht="12">
      <c r="A24">
        <v>1600</v>
      </c>
      <c r="G24" s="38">
        <v>300</v>
      </c>
      <c r="H24" s="501">
        <f t="shared" si="0"/>
        <v>2588815.207323447</v>
      </c>
      <c r="I24" s="38">
        <v>300</v>
      </c>
      <c r="J24" s="501">
        <f t="shared" si="1"/>
        <v>2572031.266988376</v>
      </c>
      <c r="K24" s="465"/>
      <c r="L24" s="465"/>
    </row>
    <row r="25" spans="1:12" ht="12">
      <c r="A25">
        <v>1500</v>
      </c>
      <c r="G25" s="38">
        <v>600</v>
      </c>
      <c r="H25" s="501">
        <f t="shared" si="0"/>
        <v>5179567.023147093</v>
      </c>
      <c r="I25" s="38">
        <v>600</v>
      </c>
      <c r="J25" s="501">
        <f t="shared" si="1"/>
        <v>5161061.653034067</v>
      </c>
      <c r="K25" s="465"/>
      <c r="L25" s="465"/>
    </row>
    <row r="26" spans="1:12" ht="12">
      <c r="A26">
        <v>1400</v>
      </c>
      <c r="G26" s="38">
        <v>900</v>
      </c>
      <c r="H26" s="501">
        <f t="shared" si="0"/>
        <v>7760850.975191983</v>
      </c>
      <c r="I26" s="38">
        <v>900</v>
      </c>
      <c r="J26" s="501">
        <f t="shared" si="1"/>
        <v>7744067.034856914</v>
      </c>
      <c r="K26" s="465"/>
      <c r="L26" s="465"/>
    </row>
    <row r="27" spans="1:12" ht="12">
      <c r="A27">
        <v>1200</v>
      </c>
      <c r="G27" s="38">
        <v>1200</v>
      </c>
      <c r="H27" s="501">
        <f t="shared" si="0"/>
        <v>10329224.203902202</v>
      </c>
      <c r="I27" s="38">
        <v>1200</v>
      </c>
      <c r="J27" s="501">
        <f t="shared" si="1"/>
        <v>10307921.510399997</v>
      </c>
      <c r="K27" s="465"/>
      <c r="L27" s="465"/>
    </row>
    <row r="28" spans="1:12" ht="12">
      <c r="A28">
        <v>1000</v>
      </c>
      <c r="G28" s="38">
        <v>1500</v>
      </c>
      <c r="H28" s="501">
        <f t="shared" si="0"/>
        <v>12888775.1050004</v>
      </c>
      <c r="I28" s="38">
        <v>1500</v>
      </c>
      <c r="J28" s="501">
        <f t="shared" si="1"/>
        <v>12864675.088109016</v>
      </c>
      <c r="K28" s="465"/>
      <c r="L28" s="465"/>
    </row>
    <row r="29" spans="1:12" ht="12.75" thickBot="1">
      <c r="A29">
        <v>800</v>
      </c>
      <c r="G29" s="465"/>
      <c r="H29" s="465"/>
      <c r="I29" s="465"/>
      <c r="J29" s="465"/>
      <c r="K29" s="465"/>
      <c r="L29" s="465"/>
    </row>
    <row r="30" spans="1:12" ht="12.75" thickTop="1">
      <c r="A30">
        <v>600</v>
      </c>
      <c r="G30" s="598" t="s">
        <v>815</v>
      </c>
      <c r="H30" s="598"/>
      <c r="I30" s="598"/>
      <c r="J30" s="503"/>
      <c r="K30" s="465"/>
      <c r="L30" s="465"/>
    </row>
    <row r="31" spans="1:12" ht="12.75" thickBot="1">
      <c r="A31">
        <v>400</v>
      </c>
      <c r="G31" s="597" t="s">
        <v>817</v>
      </c>
      <c r="H31" s="597"/>
      <c r="I31" s="505"/>
      <c r="J31" s="506"/>
      <c r="K31" s="465"/>
      <c r="L31" s="465"/>
    </row>
    <row r="32" spans="1:12" ht="13.5" thickBot="1" thickTop="1">
      <c r="A32">
        <v>200</v>
      </c>
      <c r="G32" s="507" t="s">
        <v>811</v>
      </c>
      <c r="H32" s="508"/>
      <c r="I32" s="507" t="s">
        <v>812</v>
      </c>
      <c r="J32" s="509"/>
      <c r="K32" s="465"/>
      <c r="L32" s="465"/>
    </row>
    <row r="33" spans="1:12" ht="12.75" thickTop="1">
      <c r="A33">
        <v>100</v>
      </c>
      <c r="G33" s="512" t="s">
        <v>821</v>
      </c>
      <c r="H33" s="513">
        <f>SLOPE(G23:G28,H23:H28)</f>
        <v>0.00011632796504643685</v>
      </c>
      <c r="I33" s="512" t="s">
        <v>821</v>
      </c>
      <c r="J33" s="514">
        <f>SLOPE(I23:I28,J23:J28)</f>
        <v>0.00011639440438825964</v>
      </c>
      <c r="K33" s="465"/>
      <c r="L33" s="465"/>
    </row>
    <row r="34" spans="1:12" ht="12.75" thickBot="1">
      <c r="A34">
        <v>0</v>
      </c>
      <c r="G34" s="515" t="s">
        <v>822</v>
      </c>
      <c r="H34" s="516">
        <f>INTERCEPT(G23:G28,H23:H28)</f>
        <v>-1.1727118933622478</v>
      </c>
      <c r="I34" s="515" t="s">
        <v>822</v>
      </c>
      <c r="J34" s="517">
        <f>INTERCEPT(I23:I28,J23:J28)</f>
        <v>0.602277424508884</v>
      </c>
      <c r="K34" s="465"/>
      <c r="L34" s="465"/>
    </row>
    <row r="35" spans="7:12" ht="12.75" thickTop="1">
      <c r="G35" s="465"/>
      <c r="H35" s="465"/>
      <c r="I35" s="465"/>
      <c r="J35" s="465"/>
      <c r="K35" s="465"/>
      <c r="L35" s="465"/>
    </row>
    <row r="36" spans="1:12" ht="12">
      <c r="A36" s="431" t="s">
        <v>816</v>
      </c>
      <c r="G36" s="599" t="s">
        <v>823</v>
      </c>
      <c r="H36" s="599"/>
      <c r="I36" s="465"/>
      <c r="J36" s="599" t="s">
        <v>824</v>
      </c>
      <c r="K36" s="599"/>
      <c r="L36" s="465"/>
    </row>
    <row r="37" spans="1:12" ht="12">
      <c r="A37" t="s">
        <v>818</v>
      </c>
      <c r="B37" t="s">
        <v>819</v>
      </c>
      <c r="C37" t="s">
        <v>138</v>
      </c>
      <c r="D37" t="s">
        <v>820</v>
      </c>
      <c r="G37" s="36" t="s">
        <v>854</v>
      </c>
      <c r="H37" s="36" t="s">
        <v>825</v>
      </c>
      <c r="I37" s="36" t="s">
        <v>826</v>
      </c>
      <c r="J37" s="36" t="s">
        <v>854</v>
      </c>
      <c r="K37" s="36" t="s">
        <v>825</v>
      </c>
      <c r="L37" s="36" t="s">
        <v>826</v>
      </c>
    </row>
    <row r="38" spans="2:12" ht="12">
      <c r="B38">
        <v>0</v>
      </c>
      <c r="C38" s="510" t="e">
        <f>AVERAGE(B15,B34)</f>
        <v>#DIV/0!</v>
      </c>
      <c r="D38" s="511" t="e">
        <f>STDEV(B15,B34)</f>
        <v>#DIV/0!</v>
      </c>
      <c r="G38" s="36" t="s">
        <v>793</v>
      </c>
      <c r="H38" s="36" t="s">
        <v>793</v>
      </c>
      <c r="I38" s="36"/>
      <c r="J38" s="36" t="s">
        <v>793</v>
      </c>
      <c r="K38" s="36" t="s">
        <v>793</v>
      </c>
      <c r="L38" s="36"/>
    </row>
    <row r="39" spans="2:12" ht="12">
      <c r="B39">
        <v>100</v>
      </c>
      <c r="C39" s="510" t="e">
        <f>AVERAGE(B16,B33)</f>
        <v>#DIV/0!</v>
      </c>
      <c r="D39" s="511" t="e">
        <f>STDEV(B16,B33)</f>
        <v>#DIV/0!</v>
      </c>
      <c r="G39" s="499">
        <v>0</v>
      </c>
      <c r="H39" s="518">
        <f aca="true" t="shared" si="2" ref="H39:H44">H23*$H$33+$H$34</f>
        <v>-1.5231501336821618</v>
      </c>
      <c r="I39" s="519"/>
      <c r="J39" s="499">
        <v>0</v>
      </c>
      <c r="K39" s="518">
        <f aca="true" t="shared" si="3" ref="K39:K44">J23*$J$33+$J$34</f>
        <v>-1.626780905419106</v>
      </c>
      <c r="L39" s="519"/>
    </row>
    <row r="40" spans="2:12" ht="12">
      <c r="B40">
        <v>200</v>
      </c>
      <c r="C40" s="510" t="e">
        <f>AVERAGE(B17,B32)</f>
        <v>#DIV/0!</v>
      </c>
      <c r="D40" s="511" t="e">
        <f>STDEV(B17,B32)</f>
        <v>#DIV/0!</v>
      </c>
      <c r="G40" s="499">
        <v>300</v>
      </c>
      <c r="H40" s="518">
        <f t="shared" si="2"/>
        <v>299.97889305584386</v>
      </c>
      <c r="I40" s="520">
        <f>(G40-H40)/G40</f>
        <v>7.035648052048297E-05</v>
      </c>
      <c r="J40" s="499">
        <v>300</v>
      </c>
      <c r="K40" s="518">
        <f t="shared" si="3"/>
        <v>299.97232481360174</v>
      </c>
      <c r="L40" s="520">
        <f>(J40-K40)/J40</f>
        <v>9.225062132751797E-05</v>
      </c>
    </row>
    <row r="41" spans="2:12" ht="12">
      <c r="B41">
        <v>400</v>
      </c>
      <c r="C41" s="510" t="e">
        <f>AVERAGE(B18,B31)</f>
        <v>#DIV/0!</v>
      </c>
      <c r="D41" s="511" t="e">
        <f>STDEV(B18,B31)</f>
        <v>#DIV/0!</v>
      </c>
      <c r="G41" s="499">
        <v>600</v>
      </c>
      <c r="H41" s="518">
        <f t="shared" si="2"/>
        <v>601.3557797309697</v>
      </c>
      <c r="I41" s="520">
        <f>(G41-H41)/G41</f>
        <v>-0.0022596328849495725</v>
      </c>
      <c r="J41" s="499">
        <v>600</v>
      </c>
      <c r="K41" s="518">
        <f t="shared" si="3"/>
        <v>601.3209745404959</v>
      </c>
      <c r="L41" s="520">
        <f>(J41-K41)/J41</f>
        <v>-0.0022016242341597564</v>
      </c>
    </row>
    <row r="42" spans="2:12" ht="12">
      <c r="B42">
        <v>600</v>
      </c>
      <c r="C42" s="510" t="e">
        <f>AVERAGE(B19,B30)</f>
        <v>#DIV/0!</v>
      </c>
      <c r="D42" s="511" t="e">
        <f>STDEV(B19,B30)</f>
        <v>#DIV/0!</v>
      </c>
      <c r="G42" s="499">
        <v>900</v>
      </c>
      <c r="H42" s="518">
        <f t="shared" si="2"/>
        <v>901.6312890793761</v>
      </c>
      <c r="I42" s="520">
        <f>(G42-H42)/G42</f>
        <v>-0.0018125434215289715</v>
      </c>
      <c r="J42" s="499">
        <v>900</v>
      </c>
      <c r="K42" s="518">
        <f t="shared" si="3"/>
        <v>901.9683474894352</v>
      </c>
      <c r="L42" s="520">
        <f>(J42-K42)/J42</f>
        <v>-0.002187052766039162</v>
      </c>
    </row>
    <row r="43" spans="2:12" ht="12">
      <c r="B43">
        <v>800</v>
      </c>
      <c r="C43" s="510" t="e">
        <f>AVERAGE(B20,B29)</f>
        <v>#DIV/0!</v>
      </c>
      <c r="D43" s="511" t="e">
        <f>STDEV(B20,B29)</f>
        <v>#DIV/0!</v>
      </c>
      <c r="G43" s="499">
        <v>1200</v>
      </c>
      <c r="H43" s="518">
        <f t="shared" si="2"/>
        <v>1200.4049202549825</v>
      </c>
      <c r="I43" s="520">
        <f>(G43-H43)/G43</f>
        <v>-0.0003374335458187261</v>
      </c>
      <c r="J43" s="499">
        <v>1200</v>
      </c>
      <c r="K43" s="518">
        <f t="shared" si="3"/>
        <v>1200.3866621084462</v>
      </c>
      <c r="L43" s="520">
        <f>(J43-K43)/J43</f>
        <v>-0.0003222184237051806</v>
      </c>
    </row>
    <row r="44" spans="2:12" ht="12">
      <c r="B44">
        <v>1000</v>
      </c>
      <c r="C44" s="510" t="e">
        <f>AVERAGE(B21,B28)</f>
        <v>#DIV/0!</v>
      </c>
      <c r="D44" s="511" t="e">
        <f>STDEV(B21,B28)</f>
        <v>#DIV/0!</v>
      </c>
      <c r="G44" s="499">
        <v>1500</v>
      </c>
      <c r="H44" s="518">
        <f t="shared" si="2"/>
        <v>1498.1522680125097</v>
      </c>
      <c r="I44" s="520">
        <f>(G44-H44)/G44</f>
        <v>0.0012318213249935374</v>
      </c>
      <c r="J44" s="499">
        <v>1500</v>
      </c>
      <c r="K44" s="518">
        <f t="shared" si="3"/>
        <v>1497.9784719534393</v>
      </c>
      <c r="L44" s="520">
        <f>(J44-K44)/J44</f>
        <v>0.0013476853643737742</v>
      </c>
    </row>
    <row r="45" spans="2:12" ht="12.75" thickBot="1">
      <c r="B45">
        <v>1200</v>
      </c>
      <c r="C45" s="510" t="e">
        <f>AVERAGE(B22,B27)</f>
        <v>#DIV/0!</v>
      </c>
      <c r="D45" s="511" t="e">
        <f>STDEV(B22,B27)</f>
        <v>#DIV/0!</v>
      </c>
      <c r="G45" s="465"/>
      <c r="H45" s="465"/>
      <c r="I45" s="465"/>
      <c r="J45" s="465"/>
      <c r="K45" s="465"/>
      <c r="L45" s="465"/>
    </row>
    <row r="46" spans="2:12" ht="13.5" thickBot="1" thickTop="1">
      <c r="B46">
        <v>1400</v>
      </c>
      <c r="C46" s="510" t="e">
        <f>AVERAGE(B23,B26)</f>
        <v>#DIV/0!</v>
      </c>
      <c r="D46" s="511" t="e">
        <f>STDEV(B23,B26)</f>
        <v>#DIV/0!</v>
      </c>
      <c r="G46" s="600" t="s">
        <v>829</v>
      </c>
      <c r="H46" s="600"/>
      <c r="I46" s="600"/>
      <c r="J46" s="600"/>
      <c r="K46" s="522"/>
      <c r="L46" s="465"/>
    </row>
    <row r="47" spans="2:12" ht="12.75" thickTop="1">
      <c r="B47">
        <v>1500</v>
      </c>
      <c r="C47" s="510" t="e">
        <f>AVERAGE(B25)</f>
        <v>#DIV/0!</v>
      </c>
      <c r="G47" s="598" t="s">
        <v>961</v>
      </c>
      <c r="H47" s="598"/>
      <c r="I47" s="598"/>
      <c r="J47" s="523"/>
      <c r="K47" s="503"/>
      <c r="L47" s="465"/>
    </row>
    <row r="48" spans="7:12" ht="12.75" thickBot="1">
      <c r="G48" s="597" t="s">
        <v>960</v>
      </c>
      <c r="H48" s="597"/>
      <c r="I48" s="524"/>
      <c r="J48" s="525"/>
      <c r="K48" s="526"/>
      <c r="L48" s="465"/>
    </row>
    <row r="49" spans="1:12" ht="13.5" thickBot="1" thickTop="1">
      <c r="A49" s="431" t="s">
        <v>821</v>
      </c>
      <c r="B49" s="521" t="e">
        <f>SLOPE(B38:B46,C38:C46)</f>
        <v>#DIV/0!</v>
      </c>
      <c r="G49" s="507" t="s">
        <v>811</v>
      </c>
      <c r="H49" s="527"/>
      <c r="I49" s="505"/>
      <c r="J49" s="507" t="s">
        <v>812</v>
      </c>
      <c r="K49" s="509"/>
      <c r="L49" s="465"/>
    </row>
    <row r="50" spans="1:12" ht="12.75" thickTop="1">
      <c r="A50" t="s">
        <v>827</v>
      </c>
      <c r="B50" s="510" t="e">
        <f>INTERCEPT(B38:B46,C38:C46)</f>
        <v>#DIV/0!</v>
      </c>
      <c r="G50" s="528" t="s">
        <v>821</v>
      </c>
      <c r="H50" s="529">
        <f>H33</f>
        <v>0.00011632796504643685</v>
      </c>
      <c r="I50" s="530"/>
      <c r="J50" s="502" t="s">
        <v>821</v>
      </c>
      <c r="K50" s="531">
        <f>J33</f>
        <v>0.00011639440438825964</v>
      </c>
      <c r="L50" s="465"/>
    </row>
    <row r="51" spans="1:12" ht="12">
      <c r="A51" s="431" t="s">
        <v>828</v>
      </c>
      <c r="B51" s="510" t="e">
        <f>B50-B8</f>
        <v>#DIV/0!</v>
      </c>
      <c r="G51" s="528" t="s">
        <v>822</v>
      </c>
      <c r="H51" s="529">
        <f>H34-B8</f>
        <v>-15.872711893362247</v>
      </c>
      <c r="I51" s="530"/>
      <c r="J51" s="528" t="s">
        <v>822</v>
      </c>
      <c r="K51" s="529">
        <f>K34-B8</f>
        <v>-14.7</v>
      </c>
      <c r="L51" s="465"/>
    </row>
    <row r="52" spans="7:12" ht="12.75" thickBot="1">
      <c r="G52" s="504" t="s">
        <v>36</v>
      </c>
      <c r="H52" s="532">
        <f>H51*0.685</f>
        <v>-10.87280764695314</v>
      </c>
      <c r="I52" s="524"/>
      <c r="J52" s="504" t="s">
        <v>36</v>
      </c>
      <c r="K52" s="532">
        <f>K51*0.685</f>
        <v>-10.0695</v>
      </c>
      <c r="L52" s="465"/>
    </row>
    <row r="53" ht="12.75" thickTop="1"/>
  </sheetData>
  <sheetProtection/>
  <mergeCells count="17">
    <mergeCell ref="A10:B10"/>
    <mergeCell ref="A11:B11"/>
    <mergeCell ref="G46:J46"/>
    <mergeCell ref="G47:I47"/>
    <mergeCell ref="G48:H48"/>
    <mergeCell ref="G11:L11"/>
    <mergeCell ref="G30:I30"/>
    <mergeCell ref="G31:H31"/>
    <mergeCell ref="G36:H36"/>
    <mergeCell ref="J36:K36"/>
    <mergeCell ref="D7:E7"/>
    <mergeCell ref="I2:J2"/>
    <mergeCell ref="D5:E5"/>
    <mergeCell ref="G2:H2"/>
    <mergeCell ref="D6:E6"/>
    <mergeCell ref="H3:I3"/>
    <mergeCell ref="J3:K3"/>
  </mergeCells>
  <printOptions/>
  <pageMargins left="0.7479166666666667" right="0.7479166666666667" top="0.9840277777777777" bottom="0.9840277777777777" header="0.5118055555555555" footer="0.5"/>
  <pageSetup fitToHeight="1" fitToWidth="1" horizontalDpi="300" verticalDpi="300" orientation="portrait" scale="58"/>
  <headerFooter alignWithMargins="0">
    <oddFooter>&amp;C&amp;F&amp;R&amp;P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5"/>
  <sheetViews>
    <sheetView zoomScalePageLayoutView="0" workbookViewId="0" topLeftCell="A1">
      <selection activeCell="H16" sqref="H16"/>
    </sheetView>
  </sheetViews>
  <sheetFormatPr defaultColWidth="11.421875" defaultRowHeight="12.75"/>
  <cols>
    <col min="1" max="16384" width="8.8515625" style="0" customWidth="1"/>
  </cols>
  <sheetData>
    <row r="1" spans="1:17" ht="15">
      <c r="A1" s="533" t="s">
        <v>830</v>
      </c>
      <c r="B1" s="20"/>
      <c r="C1" s="1"/>
      <c r="D1" s="1"/>
      <c r="E1" s="1"/>
      <c r="F1" s="20"/>
      <c r="H1" s="1"/>
      <c r="I1" s="1"/>
      <c r="J1" s="20"/>
      <c r="M1" s="1"/>
      <c r="N1" s="20"/>
      <c r="Q1" s="1"/>
    </row>
    <row r="2" spans="1:17" ht="15">
      <c r="A2" s="533"/>
      <c r="B2" s="20"/>
      <c r="C2" s="1"/>
      <c r="D2" s="1"/>
      <c r="E2" s="1"/>
      <c r="F2" s="20"/>
      <c r="H2" s="1"/>
      <c r="I2" s="1"/>
      <c r="J2" s="20"/>
      <c r="M2" s="1"/>
      <c r="N2" s="20"/>
      <c r="Q2" s="1"/>
    </row>
    <row r="3" spans="1:23" ht="38.25" customHeight="1">
      <c r="A3" s="576"/>
      <c r="B3" s="493" t="s">
        <v>836</v>
      </c>
      <c r="C3" s="1"/>
      <c r="D3" s="20"/>
      <c r="E3" s="577"/>
      <c r="F3" s="493" t="s">
        <v>831</v>
      </c>
      <c r="H3" s="1"/>
      <c r="I3" s="577"/>
      <c r="J3" s="578" t="s">
        <v>839</v>
      </c>
      <c r="M3" s="577"/>
      <c r="N3" s="493" t="s">
        <v>837</v>
      </c>
      <c r="Q3" s="1"/>
      <c r="R3" s="579" t="s">
        <v>6</v>
      </c>
      <c r="S3" s="580"/>
      <c r="T3" s="580"/>
      <c r="U3" s="601"/>
      <c r="V3" s="602"/>
      <c r="W3" s="602"/>
    </row>
    <row r="4" spans="1:23" ht="95.25" customHeight="1" thickBot="1">
      <c r="A4" s="582" t="s">
        <v>7</v>
      </c>
      <c r="B4" s="583" t="s">
        <v>832</v>
      </c>
      <c r="C4" s="583" t="s">
        <v>833</v>
      </c>
      <c r="D4" s="583" t="s">
        <v>834</v>
      </c>
      <c r="E4" s="584" t="s">
        <v>8</v>
      </c>
      <c r="F4" s="583" t="s">
        <v>832</v>
      </c>
      <c r="G4" s="583" t="s">
        <v>833</v>
      </c>
      <c r="H4" s="583" t="s">
        <v>834</v>
      </c>
      <c r="I4" s="584" t="s">
        <v>835</v>
      </c>
      <c r="J4" s="583" t="s">
        <v>832</v>
      </c>
      <c r="K4" s="583" t="s">
        <v>833</v>
      </c>
      <c r="L4" s="583" t="s">
        <v>834</v>
      </c>
      <c r="M4" s="584" t="s">
        <v>838</v>
      </c>
      <c r="N4" s="583" t="s">
        <v>832</v>
      </c>
      <c r="O4" s="583" t="s">
        <v>833</v>
      </c>
      <c r="P4" s="583" t="s">
        <v>834</v>
      </c>
      <c r="Q4" s="583" t="s">
        <v>838</v>
      </c>
      <c r="R4" s="583" t="s">
        <v>9</v>
      </c>
      <c r="S4" s="583" t="s">
        <v>10</v>
      </c>
      <c r="T4" s="583" t="s">
        <v>11</v>
      </c>
      <c r="U4" s="581"/>
      <c r="V4" s="581"/>
      <c r="W4" s="581"/>
    </row>
    <row r="5" spans="1:23" ht="12.75" customHeight="1">
      <c r="A5" s="585">
        <v>139</v>
      </c>
      <c r="B5" s="581">
        <v>60</v>
      </c>
      <c r="C5" s="581">
        <v>31</v>
      </c>
      <c r="D5" s="581">
        <v>25</v>
      </c>
      <c r="E5" s="586"/>
      <c r="F5" s="581">
        <v>60</v>
      </c>
      <c r="G5" s="581">
        <v>15</v>
      </c>
      <c r="H5" s="581">
        <v>11</v>
      </c>
      <c r="I5" s="586">
        <v>20</v>
      </c>
      <c r="J5" s="581">
        <v>15</v>
      </c>
      <c r="K5" s="581">
        <v>25</v>
      </c>
      <c r="L5" s="581">
        <v>17</v>
      </c>
      <c r="M5" s="586">
        <v>18</v>
      </c>
      <c r="N5" s="581">
        <v>35</v>
      </c>
      <c r="O5" s="581">
        <v>22</v>
      </c>
      <c r="P5" s="581">
        <v>18</v>
      </c>
      <c r="Q5" s="581">
        <v>19</v>
      </c>
      <c r="R5" s="581">
        <v>20.2</v>
      </c>
      <c r="S5" s="581">
        <v>163</v>
      </c>
      <c r="T5" s="581">
        <v>222</v>
      </c>
      <c r="U5" s="18"/>
      <c r="V5" s="18"/>
      <c r="W5" s="18"/>
    </row>
  </sheetData>
  <sheetProtection/>
  <mergeCells count="1">
    <mergeCell ref="U3:W3"/>
  </mergeCells>
  <printOptions/>
  <pageMargins left="0.7479166666666667" right="0.7479166666666667" top="0.9840277777777777" bottom="0.9840277777777777" header="0.5118055555555555" footer="0.5118055555555555"/>
  <pageSetup fitToHeight="1" fitToWidth="1" horizontalDpi="300" verticalDpi="300" orientation="portrait"/>
  <headerFooter alignWithMargins="0">
    <oddFooter>&amp;C&amp;F&amp;R&amp;P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E5" sqref="E5"/>
    </sheetView>
  </sheetViews>
  <sheetFormatPr defaultColWidth="9.140625" defaultRowHeight="12.75"/>
  <cols>
    <col min="1" max="1" width="25.7109375" style="29" customWidth="1"/>
    <col min="2" max="2" width="12.140625" style="29" customWidth="1"/>
    <col min="3" max="16384" width="9.140625" style="465" customWidth="1"/>
  </cols>
  <sheetData>
    <row r="1" spans="1:3" s="489" customFormat="1" ht="16.5">
      <c r="A1" s="534" t="s">
        <v>840</v>
      </c>
      <c r="B1" s="535" t="s">
        <v>120</v>
      </c>
      <c r="C1" s="536">
        <f>Trim!C2</f>
        <v>139</v>
      </c>
    </row>
    <row r="2" spans="1:11" ht="15">
      <c r="A2" s="6" t="s">
        <v>130</v>
      </c>
      <c r="B2" s="7">
        <f ca="1">NOW()</f>
        <v>39995.763402777775</v>
      </c>
      <c r="C2" s="6" t="s">
        <v>132</v>
      </c>
      <c r="D2" s="9">
        <f ca="1">NOW()</f>
        <v>39995.763402777775</v>
      </c>
      <c r="K2" s="473"/>
    </row>
    <row r="3" spans="1:3" ht="12">
      <c r="A3" s="29" t="s">
        <v>841</v>
      </c>
      <c r="B3" s="537">
        <v>2.713</v>
      </c>
      <c r="C3" s="465" t="s">
        <v>316</v>
      </c>
    </row>
    <row r="4" spans="1:3" ht="12">
      <c r="A4" s="29" t="s">
        <v>842</v>
      </c>
      <c r="B4" s="537">
        <v>11.296</v>
      </c>
      <c r="C4" s="465" t="s">
        <v>316</v>
      </c>
    </row>
    <row r="5" spans="1:3" ht="12">
      <c r="A5" s="29" t="s">
        <v>843</v>
      </c>
      <c r="B5" s="537">
        <v>8.415</v>
      </c>
      <c r="C5" s="465" t="s">
        <v>316</v>
      </c>
    </row>
    <row r="6" spans="1:3" ht="12">
      <c r="A6" s="29" t="s">
        <v>844</v>
      </c>
      <c r="B6" s="537">
        <v>8.027</v>
      </c>
      <c r="C6" s="465" t="s">
        <v>316</v>
      </c>
    </row>
    <row r="7" spans="1:3" ht="12">
      <c r="A7" s="29" t="s">
        <v>845</v>
      </c>
      <c r="B7" s="537">
        <v>0.9</v>
      </c>
      <c r="C7" s="465" t="s">
        <v>316</v>
      </c>
    </row>
    <row r="8" spans="1:4" ht="12">
      <c r="A8" s="29" t="s">
        <v>846</v>
      </c>
      <c r="B8" s="537">
        <v>1.6497907390616333</v>
      </c>
      <c r="C8" s="465" t="s">
        <v>316</v>
      </c>
      <c r="D8" s="473" t="s">
        <v>72</v>
      </c>
    </row>
    <row r="9" spans="1:3" ht="12">
      <c r="A9" s="29" t="s">
        <v>847</v>
      </c>
      <c r="B9" s="537">
        <v>7.1</v>
      </c>
      <c r="C9" s="465" t="s">
        <v>316</v>
      </c>
    </row>
    <row r="10" spans="1:3" ht="12">
      <c r="A10" s="29" t="s">
        <v>848</v>
      </c>
      <c r="B10" s="537">
        <v>1.41</v>
      </c>
      <c r="C10" s="465" t="s">
        <v>316</v>
      </c>
    </row>
    <row r="11" spans="1:3" ht="12.75">
      <c r="A11" s="29" t="s">
        <v>849</v>
      </c>
      <c r="B11" s="537">
        <v>1.23</v>
      </c>
      <c r="C11" s="465" t="s">
        <v>316</v>
      </c>
    </row>
    <row r="12" spans="1:3" ht="12.75">
      <c r="A12" s="29" t="s">
        <v>850</v>
      </c>
      <c r="B12" s="537">
        <v>0.8683</v>
      </c>
      <c r="C12" s="465" t="s">
        <v>316</v>
      </c>
    </row>
    <row r="13" spans="1:3" ht="12.75">
      <c r="A13" s="29" t="s">
        <v>891</v>
      </c>
      <c r="B13" s="35">
        <v>0.672</v>
      </c>
      <c r="C13" s="465" t="s">
        <v>316</v>
      </c>
    </row>
    <row r="14" spans="1:3" ht="12.75">
      <c r="A14" s="1" t="s">
        <v>68</v>
      </c>
      <c r="B14" s="537">
        <v>1.21</v>
      </c>
      <c r="C14" s="465" t="s">
        <v>316</v>
      </c>
    </row>
    <row r="15" ht="12.75">
      <c r="A15" s="142" t="s">
        <v>892</v>
      </c>
    </row>
    <row r="17" ht="12">
      <c r="A17" s="465" t="s">
        <v>893</v>
      </c>
    </row>
  </sheetData>
  <sheetProtection/>
  <printOptions/>
  <pageMargins left="0.7479166666666667" right="0.7479166666666667" top="0.9840277777777777" bottom="0.9840277777777777" header="0.5118055555555555" footer="0.5"/>
  <pageSetup fitToHeight="1" fitToWidth="1" horizontalDpi="300" verticalDpi="300" orientation="portrait" scale="75"/>
  <headerFooter alignWithMargins="0">
    <oddFooter>&amp;C&amp;F&amp;R&amp;P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dc:creator>
  <cp:keywords/>
  <dc:description/>
  <cp:lastModifiedBy>Fritz Stahr</cp:lastModifiedBy>
  <cp:lastPrinted>2008-12-12T20:05:00Z</cp:lastPrinted>
  <dcterms:created xsi:type="dcterms:W3CDTF">2007-10-11T21:33:25Z</dcterms:created>
  <dcterms:modified xsi:type="dcterms:W3CDTF">2009-01-27T21:15:27Z</dcterms:modified>
  <cp:category/>
  <cp:version/>
  <cp:contentType/>
  <cp:contentStatus/>
  <cp:revision>1</cp:revision>
</cp:coreProperties>
</file>