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530" windowHeight="4410" activeTab="2"/>
  </bookViews>
  <sheets>
    <sheet name="C_EDDY_CHART" sheetId="1" r:id="rId1"/>
    <sheet name="AC_EDDY_CHART" sheetId="2" r:id="rId2"/>
    <sheet name="average_data" sheetId="3" r:id="rId3"/>
    <sheet name="RUN1" sheetId="4" r:id="rId4"/>
    <sheet name="RUN2" sheetId="5" r:id="rId5"/>
    <sheet name="Calibration" sheetId="6" r:id="rId6"/>
  </sheets>
  <definedNames/>
  <calcPr fullCalcOnLoad="1"/>
</workbook>
</file>

<file path=xl/comments6.xml><?xml version="1.0" encoding="utf-8"?>
<comments xmlns="http://schemas.openxmlformats.org/spreadsheetml/2006/main">
  <authors>
    <author>Lance A. Fujieki</author>
  </authors>
  <commentList>
    <comment ref="E10" authorId="0">
      <text>
        <r>
          <rPr>
            <b/>
            <sz val="8"/>
            <rFont val="Tahoma"/>
            <family val="0"/>
          </rPr>
          <t>Lance A. Fujieki:</t>
        </r>
        <r>
          <rPr>
            <sz val="8"/>
            <rFont val="Tahoma"/>
            <family val="0"/>
          </rPr>
          <t xml:space="preserve">
the stock was actually 850 ng per ml, so all stds  are corrected by 0.85%</t>
        </r>
      </text>
    </comment>
    <comment ref="E31" authorId="0">
      <text>
        <r>
          <rPr>
            <b/>
            <sz val="8"/>
            <rFont val="Tahoma"/>
            <family val="0"/>
          </rPr>
          <t>Lance A. Fujieki:</t>
        </r>
        <r>
          <rPr>
            <sz val="8"/>
            <rFont val="Tahoma"/>
            <family val="0"/>
          </rPr>
          <t xml:space="preserve">
the stock was actually 850 ng per ml, so all stds  are corrected by 0.85%</t>
        </r>
      </text>
    </comment>
  </commentList>
</comments>
</file>

<file path=xl/sharedStrings.xml><?xml version="1.0" encoding="utf-8"?>
<sst xmlns="http://schemas.openxmlformats.org/spreadsheetml/2006/main" count="172" uniqueCount="148">
  <si>
    <t>BLANK</t>
  </si>
  <si>
    <t>STD0.1</t>
  </si>
  <si>
    <t>STD0.3</t>
  </si>
  <si>
    <t>STD0.5</t>
  </si>
  <si>
    <t>STD3</t>
  </si>
  <si>
    <t>STD1</t>
  </si>
  <si>
    <t>STD5</t>
  </si>
  <si>
    <t>STD7.5</t>
  </si>
  <si>
    <t>STD10</t>
  </si>
  <si>
    <t>STD15</t>
  </si>
  <si>
    <t>STD30</t>
  </si>
  <si>
    <t>STD50</t>
  </si>
  <si>
    <t>STD100</t>
  </si>
  <si>
    <t>BLANK3</t>
  </si>
  <si>
    <t>CHKSTD5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</si>
  <si>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</si>
  <si>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</si>
  <si>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</si>
  <si>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</si>
  <si>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</si>
  <si>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</si>
  <si>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</si>
  <si>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</si>
  <si>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</si>
  <si>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</si>
  <si>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</si>
  <si>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</si>
  <si>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</si>
  <si>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</si>
  <si>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</si>
  <si>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</si>
  <si>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</si>
  <si>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</si>
  <si>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</si>
  <si>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</si>
  <si>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</si>
  <si>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</si>
  <si>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</si>
  <si>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</si>
  <si>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</si>
  <si>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</si>
  <si>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</si>
  <si>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</si>
  <si>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</si>
  <si>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</si>
  <si>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</si>
  <si>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</si>
  <si>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</si>
  <si>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Sample</t>
  </si>
  <si>
    <t>Station</t>
  </si>
  <si>
    <t>Depth</t>
  </si>
  <si>
    <t>Blank1</t>
  </si>
  <si>
    <t>Blank2</t>
  </si>
  <si>
    <t>Blank3</t>
  </si>
  <si>
    <t>Blank4</t>
  </si>
  <si>
    <t>CV</t>
  </si>
  <si>
    <t xml:space="preserve">mean </t>
  </si>
  <si>
    <t>std</t>
  </si>
  <si>
    <t>reading</t>
  </si>
  <si>
    <t>slope (conc/reading)</t>
  </si>
  <si>
    <t>ng/ml</t>
  </si>
  <si>
    <t>ATP [ng L]</t>
  </si>
  <si>
    <t>vol extracted [ml]</t>
  </si>
  <si>
    <t>vol filtered [ml]</t>
  </si>
  <si>
    <t>atp  *= reading * cal slope * vol ext / vol filtered</t>
  </si>
  <si>
    <t>chkstd5A</t>
  </si>
  <si>
    <t>chkstdNA</t>
  </si>
  <si>
    <t>chkstd5B</t>
  </si>
  <si>
    <t>chkstdNB</t>
  </si>
  <si>
    <t>AVERAGE BLANK</t>
  </si>
  <si>
    <t>blank corrected reading</t>
  </si>
  <si>
    <t>corrected ng/ml</t>
  </si>
  <si>
    <t>stdev ATP</t>
  </si>
  <si>
    <t>BLANK1</t>
  </si>
  <si>
    <t>B2</t>
  </si>
  <si>
    <t>S0.3</t>
  </si>
  <si>
    <t>S0.5</t>
  </si>
  <si>
    <t>S1</t>
  </si>
  <si>
    <t>S3</t>
  </si>
  <si>
    <t>S5</t>
  </si>
  <si>
    <t>S7.5</t>
  </si>
  <si>
    <t>S10</t>
  </si>
  <si>
    <t>S15</t>
  </si>
  <si>
    <t>S30</t>
  </si>
  <si>
    <t>S50</t>
  </si>
  <si>
    <t>S100</t>
  </si>
  <si>
    <t>CSN</t>
  </si>
  <si>
    <t>B4</t>
  </si>
  <si>
    <t>-----------------------------------------------------------------------------------------</t>
  </si>
  <si>
    <t xml:space="preserve">RUN2 </t>
  </si>
  <si>
    <t>blank average</t>
  </si>
  <si>
    <t>RUN1</t>
  </si>
  <si>
    <t>RUN2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</si>
  <si>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</si>
  <si>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</si>
  <si>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</si>
  <si>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</si>
  <si>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</si>
  <si>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</si>
  <si>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</si>
  <si>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</si>
  <si>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</si>
  <si>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</si>
  <si>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</si>
  <si>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</si>
  <si>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</si>
  <si>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</si>
  <si>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</si>
  <si>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</si>
  <si>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</si>
  <si>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</si>
  <si>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</si>
  <si>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</si>
  <si>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</si>
  <si>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</si>
  <si>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</si>
  <si>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</si>
  <si>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</si>
  <si>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</si>
  <si>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</si>
  <si>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</si>
  <si>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</si>
  <si>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</si>
  <si>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</si>
  <si>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</si>
  <si>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A69</t>
  </si>
  <si>
    <t>A70</t>
  </si>
  <si>
    <t>A71</t>
  </si>
  <si>
    <t>A73</t>
  </si>
  <si>
    <t>A74</t>
  </si>
  <si>
    <t>A75</t>
  </si>
  <si>
    <t>A76</t>
  </si>
  <si>
    <t>RUN1:</t>
  </si>
  <si>
    <t>RUN2:</t>
  </si>
  <si>
    <t>A77</t>
  </si>
  <si>
    <t>A78</t>
  </si>
  <si>
    <t>A72</t>
  </si>
  <si>
    <t>A67</t>
  </si>
  <si>
    <t>A68</t>
  </si>
  <si>
    <t>END RUN 1</t>
  </si>
  <si>
    <t>mean ATP ng L-1</t>
  </si>
  <si>
    <r>
      <t>average ATP [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 m</t>
    </r>
    <r>
      <rPr>
        <b/>
        <vertAlign val="superscript"/>
        <sz val="10"/>
        <rFont val="Arial"/>
        <family val="2"/>
      </rPr>
      <t>-2</t>
    </r>
    <r>
      <rPr>
        <b/>
        <sz val="10"/>
        <rFont val="Arial"/>
        <family val="2"/>
      </rPr>
      <t>]</t>
    </r>
  </si>
  <si>
    <r>
      <t>Integrated ATP [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g m</t>
    </r>
    <r>
      <rPr>
        <b/>
        <vertAlign val="superscript"/>
        <sz val="10"/>
        <rFont val="Arial"/>
        <family val="2"/>
      </rPr>
      <t>-2</t>
    </r>
    <r>
      <rPr>
        <b/>
        <sz val="10"/>
        <rFont val="Arial"/>
        <family val="2"/>
      </rPr>
      <t>]</t>
    </r>
  </si>
  <si>
    <t>AG-2</t>
  </si>
  <si>
    <t>AG-3</t>
  </si>
  <si>
    <t>AG-4</t>
  </si>
  <si>
    <t>AG-5</t>
  </si>
  <si>
    <t>AG-6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</si>
</sst>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0.000000"/>
    <numFmt numFmtId="170" formatCode="0.000000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9" fontId="0" fillId="0" borderId="0" xfId="21" applyAlignment="1">
      <alignment/>
    </xf>
    <xf numFmtId="10" fontId="0" fillId="0" borderId="0" xfId="21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9" fontId="0" fillId="0" borderId="0" xfId="21" applyAlignment="1">
      <alignment wrapText="1"/>
    </xf>
    <xf numFmtId="0" fontId="0" fillId="0" borderId="0" xfId="0" applyAlignment="1">
      <alignment horizontal="center" wrapText="1"/>
    </xf>
    <xf numFmtId="168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/>
    </xf>
    <xf numFmtId="9" fontId="0" fillId="0" borderId="0" xfId="21" applyFont="1" applyAlignment="1">
      <alignment/>
    </xf>
    <xf numFmtId="10" fontId="0" fillId="0" borderId="0" xfId="21" applyNumberFormat="1" applyFont="1" applyAlignment="1">
      <alignment/>
    </xf>
    <xf numFmtId="9" fontId="0" fillId="0" borderId="0" xfId="21" applyAlignment="1">
      <alignment/>
    </xf>
    <xf numFmtId="9" fontId="0" fillId="0" borderId="0" xfId="21" applyAlignment="1">
      <alignment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4775"/>
          <c:w val="0.824"/>
          <c:h val="0.92125"/>
        </c:manualLayout>
      </c:layout>
      <c:scatterChart>
        <c:scatterStyle val="lineMarker"/>
        <c:varyColors val="0"/>
        <c:ser>
          <c:idx val="0"/>
          <c:order val="0"/>
          <c:tx>
            <c:v>AG1-4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average_data!$C$14:$C$18</c:f>
              <c:numCache>
                <c:ptCount val="5"/>
                <c:pt idx="0">
                  <c:v>40.253862288622635</c:v>
                </c:pt>
                <c:pt idx="1">
                  <c:v>64.53352667891981</c:v>
                </c:pt>
                <c:pt idx="2">
                  <c:v>58.594292652223636</c:v>
                </c:pt>
                <c:pt idx="3">
                  <c:v>54.043481713409044</c:v>
                </c:pt>
                <c:pt idx="4">
                  <c:v>7.970068887437442</c:v>
                </c:pt>
              </c:numCache>
            </c:numRef>
          </c:xVal>
          <c:yVal>
            <c:numRef>
              <c:f>average_data!$B$14:$B$18</c:f>
              <c:numCache>
                <c:ptCount val="5"/>
                <c:pt idx="0">
                  <c:v>10</c:v>
                </c:pt>
                <c:pt idx="1">
                  <c:v>45</c:v>
                </c:pt>
                <c:pt idx="2">
                  <c:v>75</c:v>
                </c:pt>
                <c:pt idx="3">
                  <c:v>100</c:v>
                </c:pt>
                <c:pt idx="4">
                  <c:v>150</c:v>
                </c:pt>
              </c:numCache>
            </c:numRef>
          </c:yVal>
          <c:smooth val="0"/>
        </c:ser>
        <c:ser>
          <c:idx val="1"/>
          <c:order val="1"/>
          <c:tx>
            <c:v>AG1-5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average_data!$C$20:$C$24</c:f>
              <c:numCache>
                <c:ptCount val="5"/>
                <c:pt idx="0">
                  <c:v>24.70210453253848</c:v>
                </c:pt>
                <c:pt idx="1">
                  <c:v>46.060640279677635</c:v>
                </c:pt>
                <c:pt idx="2">
                  <c:v>57.17275555543176</c:v>
                </c:pt>
                <c:pt idx="3">
                  <c:v>47.47271623106658</c:v>
                </c:pt>
                <c:pt idx="4">
                  <c:v>25.27213854306567</c:v>
                </c:pt>
              </c:numCache>
            </c:numRef>
          </c:xVal>
          <c:yVal>
            <c:numRef>
              <c:f>average_data!$B$20:$B$24</c:f>
              <c:numCache>
                <c:ptCount val="5"/>
                <c:pt idx="0">
                  <c:v>10</c:v>
                </c:pt>
                <c:pt idx="1">
                  <c:v>45</c:v>
                </c:pt>
                <c:pt idx="2">
                  <c:v>75</c:v>
                </c:pt>
                <c:pt idx="3">
                  <c:v>100</c:v>
                </c:pt>
                <c:pt idx="4">
                  <c:v>150</c:v>
                </c:pt>
              </c:numCache>
            </c:numRef>
          </c:yVal>
          <c:smooth val="0"/>
        </c:ser>
        <c:ser>
          <c:idx val="2"/>
          <c:order val="2"/>
          <c:tx>
            <c:v>AG1-6 Control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average_data!$C$26:$C$300</c:f>
              <c:numCache>
                <c:ptCount val="5"/>
                <c:pt idx="0">
                  <c:v>35.36718068800365</c:v>
                </c:pt>
                <c:pt idx="1">
                  <c:v>40.535331364360125</c:v>
                </c:pt>
                <c:pt idx="2">
                  <c:v>40.32009030644322</c:v>
                </c:pt>
                <c:pt idx="3">
                  <c:v>42.33058370456818</c:v>
                </c:pt>
                <c:pt idx="4">
                  <c:v>14.119813399349049</c:v>
                </c:pt>
              </c:numCache>
            </c:numRef>
          </c:xVal>
          <c:yVal>
            <c:numRef>
              <c:f>average_data!$B$26:$B$30</c:f>
              <c:numCache>
                <c:ptCount val="5"/>
                <c:pt idx="0">
                  <c:v>10</c:v>
                </c:pt>
                <c:pt idx="1">
                  <c:v>45</c:v>
                </c:pt>
                <c:pt idx="2">
                  <c:v>75</c:v>
                </c:pt>
                <c:pt idx="3">
                  <c:v>100</c:v>
                </c:pt>
                <c:pt idx="4">
                  <c:v>150</c:v>
                </c:pt>
              </c:numCache>
            </c:numRef>
          </c:yVal>
          <c:smooth val="0"/>
        </c:ser>
        <c:axId val="53667048"/>
        <c:axId val="13241385"/>
      </c:scatterChart>
      <c:valAx>
        <c:axId val="5366704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ATP [ng per 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241385"/>
        <c:crosses val="autoZero"/>
        <c:crossBetween val="midCat"/>
        <c:dispUnits/>
      </c:valAx>
      <c:valAx>
        <c:axId val="1324138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Depth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670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5"/>
          <c:y val="0.2135"/>
          <c:w val="0.2045"/>
          <c:h val="0.11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615"/>
          <c:w val="0.824"/>
          <c:h val="0.92125"/>
        </c:manualLayout>
      </c:layout>
      <c:scatterChart>
        <c:scatterStyle val="lineMarker"/>
        <c:varyColors val="0"/>
        <c:ser>
          <c:idx val="0"/>
          <c:order val="0"/>
          <c:tx>
            <c:v>AG1-2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average_data!$C$2:$C$6</c:f>
              <c:numCache>
                <c:ptCount val="5"/>
                <c:pt idx="0">
                  <c:v>40.163331326030054</c:v>
                </c:pt>
                <c:pt idx="1">
                  <c:v>49.072984754398014</c:v>
                </c:pt>
                <c:pt idx="2">
                  <c:v>59.246418810903265</c:v>
                </c:pt>
                <c:pt idx="3">
                  <c:v>52.730289299462015</c:v>
                </c:pt>
                <c:pt idx="4">
                  <c:v>24.494366356261096</c:v>
                </c:pt>
              </c:numCache>
            </c:numRef>
          </c:xVal>
          <c:yVal>
            <c:numRef>
              <c:f>average_data!$B$2:$B$6</c:f>
              <c:numCache>
                <c:ptCount val="5"/>
                <c:pt idx="0">
                  <c:v>10</c:v>
                </c:pt>
                <c:pt idx="1">
                  <c:v>45</c:v>
                </c:pt>
                <c:pt idx="2">
                  <c:v>75</c:v>
                </c:pt>
                <c:pt idx="3">
                  <c:v>100</c:v>
                </c:pt>
                <c:pt idx="4">
                  <c:v>150</c:v>
                </c:pt>
              </c:numCache>
            </c:numRef>
          </c:yVal>
          <c:smooth val="0"/>
        </c:ser>
        <c:ser>
          <c:idx val="1"/>
          <c:order val="1"/>
          <c:tx>
            <c:v>AG1-3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average_data!$C$8:$C$12</c:f>
              <c:numCache>
                <c:ptCount val="5"/>
                <c:pt idx="0">
                  <c:v>56.72651683116283</c:v>
                </c:pt>
                <c:pt idx="1">
                  <c:v>63.55476186137133</c:v>
                </c:pt>
                <c:pt idx="2">
                  <c:v>64.44132312020098</c:v>
                </c:pt>
                <c:pt idx="3">
                  <c:v>60.32254716395351</c:v>
                </c:pt>
                <c:pt idx="4">
                  <c:v>20.107515721317835</c:v>
                </c:pt>
              </c:numCache>
            </c:numRef>
          </c:xVal>
          <c:yVal>
            <c:numRef>
              <c:f>average_data!$B$8:$B$12</c:f>
              <c:numCache>
                <c:ptCount val="5"/>
                <c:pt idx="0">
                  <c:v>10</c:v>
                </c:pt>
                <c:pt idx="1">
                  <c:v>45</c:v>
                </c:pt>
                <c:pt idx="2">
                  <c:v>75</c:v>
                </c:pt>
                <c:pt idx="3">
                  <c:v>100</c:v>
                </c:pt>
                <c:pt idx="4">
                  <c:v>150</c:v>
                </c:pt>
              </c:numCache>
            </c:numRef>
          </c:yVal>
          <c:smooth val="0"/>
        </c:ser>
        <c:ser>
          <c:idx val="2"/>
          <c:order val="2"/>
          <c:tx>
            <c:v>AG1-6 Control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average_data!$C$26:$C$30</c:f>
              <c:numCache>
                <c:ptCount val="5"/>
                <c:pt idx="0">
                  <c:v>35.36718068800365</c:v>
                </c:pt>
                <c:pt idx="1">
                  <c:v>40.535331364360125</c:v>
                </c:pt>
                <c:pt idx="2">
                  <c:v>40.32009030644322</c:v>
                </c:pt>
                <c:pt idx="3">
                  <c:v>42.33058370456818</c:v>
                </c:pt>
                <c:pt idx="4">
                  <c:v>14.119813399349049</c:v>
                </c:pt>
              </c:numCache>
            </c:numRef>
          </c:xVal>
          <c:yVal>
            <c:numRef>
              <c:f>average_data!$B$26:$B$30</c:f>
              <c:numCache>
                <c:ptCount val="5"/>
                <c:pt idx="0">
                  <c:v>10</c:v>
                </c:pt>
                <c:pt idx="1">
                  <c:v>45</c:v>
                </c:pt>
                <c:pt idx="2">
                  <c:v>75</c:v>
                </c:pt>
                <c:pt idx="3">
                  <c:v>100</c:v>
                </c:pt>
                <c:pt idx="4">
                  <c:v>150</c:v>
                </c:pt>
              </c:numCache>
            </c:numRef>
          </c:yVal>
          <c:smooth val="0"/>
        </c:ser>
        <c:axId val="52063602"/>
        <c:axId val="65919235"/>
      </c:scatterChart>
      <c:valAx>
        <c:axId val="5206360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ATP [ng per 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919235"/>
        <c:crosses val="autoZero"/>
        <c:crossBetween val="midCat"/>
        <c:dispUnits/>
      </c:valAx>
      <c:valAx>
        <c:axId val="6591923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Depth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636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825"/>
          <c:y val="0.1635"/>
          <c:w val="0.20325"/>
          <c:h val="0.11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average_data!$I$2:$I$6</c:f>
              <c:strCache>
                <c:ptCount val="5"/>
                <c:pt idx="0">
                  <c:v>AG-2</c:v>
                </c:pt>
                <c:pt idx="1">
                  <c:v>AG-3</c:v>
                </c:pt>
                <c:pt idx="2">
                  <c:v>AG-4</c:v>
                </c:pt>
                <c:pt idx="3">
                  <c:v>AG-5</c:v>
                </c:pt>
                <c:pt idx="4">
                  <c:v>AG-6</c:v>
                </c:pt>
              </c:strCache>
            </c:strRef>
          </c:cat>
          <c:val>
            <c:numRef>
              <c:f>average_data!$J$2:$J$6</c:f>
              <c:numCache>
                <c:ptCount val="5"/>
                <c:pt idx="0">
                  <c:v>6516.751827659655</c:v>
                </c:pt>
                <c:pt idx="1">
                  <c:v>7595.163602526647</c:v>
                </c:pt>
                <c:pt idx="2">
                  <c:v>6639.007541490715</c:v>
                </c:pt>
                <c:pt idx="3">
                  <c:v>5913.538738424959</c:v>
                </c:pt>
                <c:pt idx="4">
                  <c:v>4985.518638713989</c:v>
                </c:pt>
              </c:numCache>
            </c:numRef>
          </c:val>
        </c:ser>
        <c:axId val="56402204"/>
        <c:axId val="37857789"/>
      </c:barChart>
      <c:catAx>
        <c:axId val="5640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57789"/>
        <c:crosses val="autoZero"/>
        <c:auto val="1"/>
        <c:lblOffset val="100"/>
        <c:noMultiLvlLbl val="0"/>
      </c:catAx>
      <c:valAx>
        <c:axId val="37857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0-150 m Integrated ATP [ng per 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022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RUN1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Calibration!$D$11:$D$20</c:f>
              <c:numCache>
                <c:ptCount val="10"/>
                <c:pt idx="0">
                  <c:v>71</c:v>
                </c:pt>
                <c:pt idx="1">
                  <c:v>316</c:v>
                </c:pt>
                <c:pt idx="2">
                  <c:v>331</c:v>
                </c:pt>
                <c:pt idx="3">
                  <c:v>687</c:v>
                </c:pt>
                <c:pt idx="4">
                  <c:v>2297</c:v>
                </c:pt>
                <c:pt idx="5">
                  <c:v>3768</c:v>
                </c:pt>
                <c:pt idx="6">
                  <c:v>5587</c:v>
                </c:pt>
                <c:pt idx="7">
                  <c:v>7830</c:v>
                </c:pt>
                <c:pt idx="8">
                  <c:v>11028</c:v>
                </c:pt>
                <c:pt idx="9">
                  <c:v>22178</c:v>
                </c:pt>
              </c:numCache>
            </c:numRef>
          </c:xVal>
          <c:yVal>
            <c:numRef>
              <c:f>Calibration!$F$11:$F$20</c:f>
              <c:numCache>
                <c:ptCount val="10"/>
                <c:pt idx="0">
                  <c:v>0.085</c:v>
                </c:pt>
                <c:pt idx="1">
                  <c:v>0.255</c:v>
                </c:pt>
                <c:pt idx="2">
                  <c:v>0.425</c:v>
                </c:pt>
                <c:pt idx="3">
                  <c:v>0.85</c:v>
                </c:pt>
                <c:pt idx="4">
                  <c:v>2.55</c:v>
                </c:pt>
                <c:pt idx="5">
                  <c:v>4.25</c:v>
                </c:pt>
                <c:pt idx="6">
                  <c:v>6.375</c:v>
                </c:pt>
                <c:pt idx="7">
                  <c:v>8.5</c:v>
                </c:pt>
                <c:pt idx="8">
                  <c:v>12.75</c:v>
                </c:pt>
                <c:pt idx="9">
                  <c:v>25.5</c:v>
                </c:pt>
              </c:numCache>
            </c:numRef>
          </c:yVal>
          <c:smooth val="0"/>
        </c:ser>
        <c:ser>
          <c:idx val="1"/>
          <c:order val="1"/>
          <c:tx>
            <c:v>RUN2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Calibration!$D$32:$D$41</c:f>
              <c:numCache>
                <c:ptCount val="10"/>
                <c:pt idx="0">
                  <c:v>236.20000000000005</c:v>
                </c:pt>
                <c:pt idx="1">
                  <c:v>249.20000000000005</c:v>
                </c:pt>
                <c:pt idx="2">
                  <c:v>389.20000000000005</c:v>
                </c:pt>
                <c:pt idx="3">
                  <c:v>701.2</c:v>
                </c:pt>
                <c:pt idx="4">
                  <c:v>1846.2</c:v>
                </c:pt>
                <c:pt idx="5">
                  <c:v>2709.2</c:v>
                </c:pt>
                <c:pt idx="6">
                  <c:v>4442.2</c:v>
                </c:pt>
                <c:pt idx="7">
                  <c:v>6224.2</c:v>
                </c:pt>
                <c:pt idx="8">
                  <c:v>8835.2</c:v>
                </c:pt>
                <c:pt idx="9">
                  <c:v>18087.2</c:v>
                </c:pt>
              </c:numCache>
            </c:numRef>
          </c:xVal>
          <c:yVal>
            <c:numRef>
              <c:f>Calibration!$F$32:$F$41</c:f>
              <c:numCache>
                <c:ptCount val="10"/>
                <c:pt idx="0">
                  <c:v>0.085</c:v>
                </c:pt>
                <c:pt idx="1">
                  <c:v>0.255</c:v>
                </c:pt>
                <c:pt idx="2">
                  <c:v>0.425</c:v>
                </c:pt>
                <c:pt idx="3">
                  <c:v>0.85</c:v>
                </c:pt>
                <c:pt idx="4">
                  <c:v>2.55</c:v>
                </c:pt>
                <c:pt idx="5">
                  <c:v>4.25</c:v>
                </c:pt>
                <c:pt idx="6">
                  <c:v>6.375</c:v>
                </c:pt>
                <c:pt idx="7">
                  <c:v>8.5</c:v>
                </c:pt>
                <c:pt idx="8">
                  <c:v>12.75</c:v>
                </c:pt>
                <c:pt idx="9">
                  <c:v>25.5</c:v>
                </c:pt>
              </c:numCache>
            </c:numRef>
          </c:yVal>
          <c:smooth val="0"/>
        </c:ser>
        <c:axId val="5175782"/>
        <c:axId val="46582039"/>
      </c:scatterChart>
      <c:valAx>
        <c:axId val="5175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reading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82039"/>
        <c:crosses val="autoZero"/>
        <c:crossBetween val="midCat"/>
        <c:dispUnits/>
      </c:valAx>
      <c:valAx>
        <c:axId val="46582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ng ATP per 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57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7</xdr:row>
      <xdr:rowOff>9525</xdr:rowOff>
    </xdr:from>
    <xdr:to>
      <xdr:col>14</xdr:col>
      <xdr:colOff>342900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4943475" y="1323975"/>
        <a:ext cx="46672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7</xdr:row>
      <xdr:rowOff>0</xdr:rowOff>
    </xdr:from>
    <xdr:to>
      <xdr:col>12</xdr:col>
      <xdr:colOff>590550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4181475" y="1209675"/>
        <a:ext cx="39624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C1">
      <selection activeCell="L27" sqref="L27"/>
    </sheetView>
  </sheetViews>
  <sheetFormatPr defaultColWidth="9.140625" defaultRowHeight="12.75"/>
  <cols>
    <col min="3" max="4" width="10.57421875" style="0" bestFit="1" customWidth="1"/>
    <col min="5" max="5" width="13.7109375" style="0" customWidth="1"/>
    <col min="6" max="6" width="12.7109375" style="0" customWidth="1"/>
  </cols>
  <sheetData>
    <row r="1" spans="1:6" s="11" customFormat="1" ht="27">
      <c r="A1" s="11" t="s">
        <v>49</v>
      </c>
      <c r="B1" s="11" t="s">
        <v>50</v>
      </c>
      <c r="C1" s="10" t="s">
        <v>140</v>
      </c>
      <c r="D1" s="10" t="s">
        <v>72</v>
      </c>
      <c r="E1" s="10" t="s">
        <v>141</v>
      </c>
      <c r="F1" s="10" t="s">
        <v>142</v>
      </c>
    </row>
    <row r="2" spans="2:10" ht="12.75">
      <c r="B2">
        <f>RUN1!C7</f>
        <v>10</v>
      </c>
      <c r="C2" s="16">
        <f>RUN1!I7</f>
        <v>40.163331326030054</v>
      </c>
      <c r="D2" s="16">
        <f>RUN1!J7</f>
        <v>5.263033916685306</v>
      </c>
      <c r="E2" s="26">
        <f>AVERAGE(C2:C3)*(B3-B2)</f>
        <v>1561.6355314074913</v>
      </c>
      <c r="F2" s="27">
        <f>SUM(E2:E5)</f>
        <v>6516.751827659655</v>
      </c>
      <c r="I2" s="11" t="s">
        <v>143</v>
      </c>
      <c r="J2" s="27">
        <f>F2</f>
        <v>6516.751827659655</v>
      </c>
    </row>
    <row r="3" spans="1:10" ht="12.75">
      <c r="A3">
        <v>2</v>
      </c>
      <c r="B3">
        <f>RUN1!C10</f>
        <v>45</v>
      </c>
      <c r="C3" s="16">
        <f>RUN1!I10</f>
        <v>49.072984754398014</v>
      </c>
      <c r="D3" s="16">
        <f>RUN1!J10</f>
        <v>3.6222543005888856</v>
      </c>
      <c r="E3" s="26">
        <f>AVERAGE(C3:C4)*(B4-B3)</f>
        <v>1624.7910534795192</v>
      </c>
      <c r="I3" s="11" t="s">
        <v>144</v>
      </c>
      <c r="J3" s="27">
        <f>F8</f>
        <v>7595.163602526647</v>
      </c>
    </row>
    <row r="4" spans="1:10" ht="12.75">
      <c r="A4">
        <v>2</v>
      </c>
      <c r="B4">
        <f>RUN1!C13</f>
        <v>75</v>
      </c>
      <c r="C4" s="16">
        <f>RUN1!I13</f>
        <v>59.246418810903265</v>
      </c>
      <c r="D4" s="16">
        <f>RUN1!J13</f>
        <v>0.9418341126931885</v>
      </c>
      <c r="E4" s="26">
        <f>AVERAGE(C4:C5)*(B5-B4)</f>
        <v>1399.708851379566</v>
      </c>
      <c r="I4" s="11" t="s">
        <v>145</v>
      </c>
      <c r="J4" s="27">
        <f>F14</f>
        <v>6639.007541490715</v>
      </c>
    </row>
    <row r="5" spans="1:10" ht="12.75">
      <c r="A5">
        <v>2</v>
      </c>
      <c r="B5">
        <f>RUN1!C16</f>
        <v>100</v>
      </c>
      <c r="C5" s="16">
        <f>RUN1!I16</f>
        <v>52.730289299462015</v>
      </c>
      <c r="D5" s="16">
        <f>RUN1!J16</f>
        <v>3.7402829272379643</v>
      </c>
      <c r="E5" s="26">
        <f>AVERAGE(C5:C6)*(B6-B5)</f>
        <v>1930.6163913930777</v>
      </c>
      <c r="I5" s="11" t="s">
        <v>146</v>
      </c>
      <c r="J5" s="27">
        <f>F20</f>
        <v>5913.538738424959</v>
      </c>
    </row>
    <row r="6" spans="1:10" ht="12.75">
      <c r="A6">
        <v>2</v>
      </c>
      <c r="B6">
        <f>RUN1!C19</f>
        <v>150</v>
      </c>
      <c r="C6" s="16">
        <f>RUN1!I19</f>
        <v>24.494366356261096</v>
      </c>
      <c r="D6" s="16">
        <f>RUN1!J19</f>
        <v>3.1003523640670747</v>
      </c>
      <c r="I6" s="11" t="s">
        <v>147</v>
      </c>
      <c r="J6" s="27">
        <f>F26</f>
        <v>4985.518638713989</v>
      </c>
    </row>
    <row r="7" spans="3:4" ht="12.75">
      <c r="C7" s="16"/>
      <c r="D7" s="16"/>
    </row>
    <row r="8" spans="1:6" ht="12.75">
      <c r="A8">
        <v>3</v>
      </c>
      <c r="B8">
        <f>RUN1!C22</f>
        <v>10</v>
      </c>
      <c r="C8" s="16">
        <f>RUN1!I22</f>
        <v>56.72651683116283</v>
      </c>
      <c r="D8" s="16">
        <f>RUN1!J22</f>
        <v>17.84132755934487</v>
      </c>
      <c r="E8" s="26">
        <f>AVERAGE(C8:C9)*(B9-B8)</f>
        <v>2104.922377119348</v>
      </c>
      <c r="F8" s="27">
        <f>SUM(E8:E11)</f>
        <v>7595.163602526647</v>
      </c>
    </row>
    <row r="9" spans="1:5" ht="12.75">
      <c r="A9">
        <v>3</v>
      </c>
      <c r="B9">
        <f>RUN1!C25</f>
        <v>45</v>
      </c>
      <c r="C9" s="16">
        <f>RUN1!I25</f>
        <v>63.55476186137133</v>
      </c>
      <c r="D9" s="16">
        <f>RUN1!J25</f>
        <v>4.751483529105287</v>
      </c>
      <c r="E9" s="26">
        <f>AVERAGE(C9:C10)*(B10-B9)</f>
        <v>1919.9412747235847</v>
      </c>
    </row>
    <row r="10" spans="1:5" ht="12.75">
      <c r="A10">
        <v>3</v>
      </c>
      <c r="B10">
        <f>RUN1!C28</f>
        <v>75</v>
      </c>
      <c r="C10" s="16">
        <f>RUN1!I28</f>
        <v>64.44132312020098</v>
      </c>
      <c r="D10" s="16">
        <f>RUN1!J28</f>
        <v>1.6612212008398224</v>
      </c>
      <c r="E10" s="26">
        <f>AVERAGE(C10:C11)*(B11-B10)</f>
        <v>1559.548378551931</v>
      </c>
    </row>
    <row r="11" spans="1:5" ht="12.75">
      <c r="A11">
        <v>3</v>
      </c>
      <c r="B11">
        <f>RUN1!C31</f>
        <v>100</v>
      </c>
      <c r="C11" s="16">
        <f>RUN1!I31</f>
        <v>60.32254716395351</v>
      </c>
      <c r="D11" s="16">
        <f>RUN1!J31</f>
        <v>3.2026882685773987</v>
      </c>
      <c r="E11" s="26">
        <f>AVERAGE(C11:C12)*(B12-B11)</f>
        <v>2010.7515721317834</v>
      </c>
    </row>
    <row r="12" spans="1:4" ht="12.75">
      <c r="A12">
        <v>3</v>
      </c>
      <c r="B12">
        <f>RUN1!C34</f>
        <v>150</v>
      </c>
      <c r="C12" s="16">
        <f>RUN1!I34</f>
        <v>20.107515721317835</v>
      </c>
      <c r="D12" s="16">
        <f>RUN1!J34</f>
        <v>1.8168505837471003</v>
      </c>
    </row>
    <row r="14" spans="1:6" ht="12.75">
      <c r="A14">
        <v>4</v>
      </c>
      <c r="B14">
        <f>RUN2!C3</f>
        <v>10</v>
      </c>
      <c r="C14" s="16">
        <f>RUN2!I3</f>
        <v>40.253862288622635</v>
      </c>
      <c r="D14" s="16">
        <f>RUN2!J3</f>
        <v>5.822723466746715</v>
      </c>
      <c r="E14" s="26">
        <f>AVERAGE(C14:C15)*(B15-B14)</f>
        <v>1833.779306931993</v>
      </c>
      <c r="F14" s="27">
        <f>SUM(E14:E17)</f>
        <v>6639.007541490715</v>
      </c>
    </row>
    <row r="15" spans="1:5" ht="12.75">
      <c r="A15">
        <v>4</v>
      </c>
      <c r="B15">
        <f>RUN2!C6</f>
        <v>45</v>
      </c>
      <c r="C15" s="16">
        <f>RUN2!I6</f>
        <v>64.53352667891981</v>
      </c>
      <c r="D15" s="16">
        <f>RUN2!J6</f>
        <v>1.6755595686552731</v>
      </c>
      <c r="E15" s="26">
        <f>AVERAGE(C15:C16)*(B16-B15)</f>
        <v>1846.9172899671519</v>
      </c>
    </row>
    <row r="16" spans="1:5" ht="12.75">
      <c r="A16">
        <v>4</v>
      </c>
      <c r="B16">
        <f>RUN2!C9</f>
        <v>75</v>
      </c>
      <c r="C16" s="16">
        <f>RUN2!I9</f>
        <v>58.594292652223636</v>
      </c>
      <c r="D16" s="16">
        <f>RUN2!J9</f>
        <v>1.6819481222669526</v>
      </c>
      <c r="E16" s="26">
        <f>AVERAGE(C16:C17)*(B17-B16)</f>
        <v>1407.9721795704086</v>
      </c>
    </row>
    <row r="17" spans="1:5" ht="12.75">
      <c r="A17">
        <v>4</v>
      </c>
      <c r="B17">
        <f>RUN2!C12</f>
        <v>100</v>
      </c>
      <c r="C17" s="16">
        <f>RUN2!I12</f>
        <v>54.043481713409044</v>
      </c>
      <c r="D17" s="16">
        <f>RUN2!J12</f>
        <v>5.408236421755932</v>
      </c>
      <c r="E17" s="26">
        <f>AVERAGE(C17:C18)*(B18-B17)</f>
        <v>1550.338765021162</v>
      </c>
    </row>
    <row r="18" spans="1:4" ht="12.75">
      <c r="A18">
        <v>4</v>
      </c>
      <c r="B18">
        <f>RUN2!C15</f>
        <v>150</v>
      </c>
      <c r="C18" s="16">
        <f>RUN2!I15</f>
        <v>7.970068887437442</v>
      </c>
      <c r="D18" s="16">
        <f>RUN2!J15</f>
        <v>0.6121386666073491</v>
      </c>
    </row>
    <row r="20" spans="1:6" ht="12.75">
      <c r="A20">
        <v>5</v>
      </c>
      <c r="B20">
        <f>RUN2!C17</f>
        <v>10</v>
      </c>
      <c r="C20" s="16">
        <f>RUN2!I17</f>
        <v>24.70210453253848</v>
      </c>
      <c r="D20" s="16">
        <f>RUN2!J17</f>
        <v>8.287826679358691</v>
      </c>
      <c r="E20" s="26">
        <f>AVERAGE(C20:C21)*(B21-B20)</f>
        <v>1238.348034213782</v>
      </c>
      <c r="F20" s="27">
        <f>SUM(E20:E23)</f>
        <v>5913.538738424959</v>
      </c>
    </row>
    <row r="21" spans="1:5" ht="12.75">
      <c r="A21">
        <v>5</v>
      </c>
      <c r="B21">
        <f>RUN2!C20</f>
        <v>45</v>
      </c>
      <c r="C21" s="16">
        <f>RUN2!I20</f>
        <v>46.060640279677635</v>
      </c>
      <c r="D21" s="16">
        <f>RUN2!J20</f>
        <v>4.249744286631558</v>
      </c>
      <c r="E21" s="26">
        <f>AVERAGE(C21:C22)*(B22-B21)</f>
        <v>1548.500937526641</v>
      </c>
    </row>
    <row r="22" spans="1:5" ht="12.75">
      <c r="A22">
        <v>5</v>
      </c>
      <c r="B22">
        <f>RUN2!C23</f>
        <v>75</v>
      </c>
      <c r="C22" s="16">
        <f>RUN2!I23</f>
        <v>57.17275555543176</v>
      </c>
      <c r="D22" s="16">
        <f>RUN2!J23</f>
        <v>0.6739572068971862</v>
      </c>
      <c r="E22" s="26">
        <f>AVERAGE(C22:C23)*(B23-B22)</f>
        <v>1308.0683973312293</v>
      </c>
    </row>
    <row r="23" spans="1:5" ht="12.75">
      <c r="A23">
        <v>5</v>
      </c>
      <c r="B23">
        <f>RUN2!C26</f>
        <v>100</v>
      </c>
      <c r="C23" s="16">
        <f>RUN2!I26</f>
        <v>47.47271623106658</v>
      </c>
      <c r="D23" s="16">
        <f>RUN2!J26</f>
        <v>4.027017232761722</v>
      </c>
      <c r="E23" s="26">
        <f>AVERAGE(C23:C24)*(B24-B23)</f>
        <v>1818.6213693533064</v>
      </c>
    </row>
    <row r="24" spans="1:4" ht="12.75">
      <c r="A24">
        <v>5</v>
      </c>
      <c r="B24">
        <f>RUN2!C29</f>
        <v>150</v>
      </c>
      <c r="C24" s="16">
        <f>RUN2!I29</f>
        <v>25.27213854306567</v>
      </c>
      <c r="D24" s="16">
        <f>RUN2!J29</f>
        <v>1.9792274665446865</v>
      </c>
    </row>
    <row r="25" spans="3:4" ht="12.75">
      <c r="C25" s="16"/>
      <c r="D25" s="16"/>
    </row>
    <row r="26" spans="1:6" ht="12.75">
      <c r="A26">
        <v>6</v>
      </c>
      <c r="B26">
        <f>RUN2!C32</f>
        <v>10</v>
      </c>
      <c r="C26" s="16">
        <f>RUN2!I32</f>
        <v>35.36718068800365</v>
      </c>
      <c r="D26" s="16">
        <f>RUN2!J32</f>
        <v>4.217275051985201</v>
      </c>
      <c r="E26" s="26">
        <f>AVERAGE(C26:C27)*(B27-B26)</f>
        <v>1328.2939609163661</v>
      </c>
      <c r="F26" s="27">
        <f>SUM(E26:E29)</f>
        <v>4985.518638713989</v>
      </c>
    </row>
    <row r="27" spans="1:5" ht="12.75">
      <c r="A27">
        <v>6</v>
      </c>
      <c r="B27">
        <f>RUN2!C35</f>
        <v>45</v>
      </c>
      <c r="C27" s="16">
        <f>RUN2!I35</f>
        <v>40.535331364360125</v>
      </c>
      <c r="D27" s="16">
        <f>RUN2!J35</f>
        <v>6.548587338672093</v>
      </c>
      <c r="E27" s="26">
        <f>AVERAGE(C27:C28)*(B28-B27)</f>
        <v>1212.8313250620502</v>
      </c>
    </row>
    <row r="28" spans="1:5" ht="12.75">
      <c r="A28">
        <v>6</v>
      </c>
      <c r="B28">
        <f>RUN2!C38</f>
        <v>75</v>
      </c>
      <c r="C28" s="16">
        <f>RUN2!I38</f>
        <v>40.32009030644322</v>
      </c>
      <c r="D28" s="16">
        <f>RUN2!J38</f>
        <v>4.258762937105985</v>
      </c>
      <c r="E28" s="26">
        <f>AVERAGE(C28:C29)*(B29-B28)</f>
        <v>1033.1334251376425</v>
      </c>
    </row>
    <row r="29" spans="1:5" ht="12.75">
      <c r="A29">
        <v>6</v>
      </c>
      <c r="B29">
        <f>RUN2!C41</f>
        <v>100</v>
      </c>
      <c r="C29" s="16">
        <f>RUN2!I41</f>
        <v>42.33058370456818</v>
      </c>
      <c r="D29" s="16">
        <f>RUN2!J41</f>
        <v>8.371220236196017</v>
      </c>
      <c r="E29" s="26">
        <f>AVERAGE(C29:C30)*(B30-B29)</f>
        <v>1411.2599275979305</v>
      </c>
    </row>
    <row r="30" spans="1:4" ht="12.75">
      <c r="A30">
        <v>6</v>
      </c>
      <c r="B30">
        <f>RUN2!C44</f>
        <v>150</v>
      </c>
      <c r="C30" s="16">
        <f>RUN2!I44</f>
        <v>14.119813399349049</v>
      </c>
      <c r="D30" s="16">
        <f>RUN2!J44</f>
        <v>4.772229431519741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G23" sqref="G23"/>
    </sheetView>
  </sheetViews>
  <sheetFormatPr defaultColWidth="9.140625" defaultRowHeight="12.75"/>
  <cols>
    <col min="8" max="8" width="7.28125" style="0" customWidth="1"/>
    <col min="11" max="11" width="9.140625" style="1" customWidth="1"/>
  </cols>
  <sheetData>
    <row r="1" ht="12.75">
      <c r="H1" t="s">
        <v>64</v>
      </c>
    </row>
    <row r="2" spans="1:11" s="4" customFormat="1" ht="38.25">
      <c r="A2" s="4" t="s">
        <v>48</v>
      </c>
      <c r="B2" s="4" t="s">
        <v>49</v>
      </c>
      <c r="C2" s="4" t="s">
        <v>50</v>
      </c>
      <c r="D2" s="4" t="s">
        <v>58</v>
      </c>
      <c r="E2" s="6" t="s">
        <v>70</v>
      </c>
      <c r="F2" s="6" t="s">
        <v>62</v>
      </c>
      <c r="G2" s="6" t="s">
        <v>63</v>
      </c>
      <c r="H2" s="6" t="s">
        <v>61</v>
      </c>
      <c r="I2" s="4" t="s">
        <v>56</v>
      </c>
      <c r="J2" s="4" t="s">
        <v>57</v>
      </c>
      <c r="K2" s="5" t="s">
        <v>55</v>
      </c>
    </row>
    <row r="3" spans="6:7" ht="12.75">
      <c r="F3" s="3"/>
      <c r="G3" s="3"/>
    </row>
    <row r="4" spans="1:8" ht="12.75">
      <c r="A4" t="s">
        <v>15</v>
      </c>
      <c r="B4">
        <v>1</v>
      </c>
      <c r="C4">
        <v>10</v>
      </c>
      <c r="D4">
        <v>8461</v>
      </c>
      <c r="E4">
        <f>D4-Calibration!$E$3</f>
        <v>6031</v>
      </c>
      <c r="F4" s="3">
        <v>5</v>
      </c>
      <c r="G4" s="3">
        <v>1000</v>
      </c>
      <c r="H4" s="7">
        <f>(E4*Calibration!$E$2)*(F4/G4)*1000</f>
        <v>34.64482258316385</v>
      </c>
    </row>
    <row r="5" spans="1:8" ht="12.75">
      <c r="A5" t="s">
        <v>16</v>
      </c>
      <c r="B5">
        <v>1</v>
      </c>
      <c r="C5">
        <v>10</v>
      </c>
      <c r="D5">
        <v>9521</v>
      </c>
      <c r="E5">
        <f>D5-Calibration!$E$3</f>
        <v>7091</v>
      </c>
      <c r="F5" s="3">
        <v>5</v>
      </c>
      <c r="G5" s="3">
        <v>1000</v>
      </c>
      <c r="H5" s="7">
        <f>(E5*Calibration!$E$2)*(F5/G5)*1000</f>
        <v>40.73394742782538</v>
      </c>
    </row>
    <row r="6" spans="1:8" ht="13.5" customHeight="1">
      <c r="A6" t="s">
        <v>17</v>
      </c>
      <c r="B6">
        <v>1</v>
      </c>
      <c r="C6">
        <v>10</v>
      </c>
      <c r="D6">
        <v>6601</v>
      </c>
      <c r="E6">
        <f>D6-Calibration!$E$3</f>
        <v>4171</v>
      </c>
      <c r="F6" s="3">
        <v>5</v>
      </c>
      <c r="G6" s="3">
        <v>1000</v>
      </c>
      <c r="H6" s="7">
        <f>(E6*Calibration!$E$2)*(F6/G6)*1000</f>
        <v>23.960131818003052</v>
      </c>
    </row>
    <row r="7" spans="1:12" s="18" customFormat="1" ht="12.75">
      <c r="A7" s="18" t="s">
        <v>18</v>
      </c>
      <c r="B7" s="18">
        <v>2</v>
      </c>
      <c r="C7" s="18">
        <v>10</v>
      </c>
      <c r="D7">
        <v>8382</v>
      </c>
      <c r="E7">
        <f>D7-Calibration!$E$3</f>
        <v>5952</v>
      </c>
      <c r="F7" s="19">
        <v>5</v>
      </c>
      <c r="G7" s="19">
        <v>1000</v>
      </c>
      <c r="H7" s="20">
        <f>(E7*Calibration!$E$2)*(F7/G7)*1000</f>
        <v>34.191010448514554</v>
      </c>
      <c r="I7" s="21">
        <f>AVERAGE(H7,H8,H9)</f>
        <v>40.163331326030054</v>
      </c>
      <c r="J7" s="18">
        <f>STDEV(H7,H8,H9)</f>
        <v>5.263033916685306</v>
      </c>
      <c r="K7" s="22">
        <f>J7/I7</f>
        <v>0.13104077134344452</v>
      </c>
      <c r="L7" s="23"/>
    </row>
    <row r="8" spans="1:8" ht="12.75">
      <c r="A8" t="s">
        <v>19</v>
      </c>
      <c r="B8">
        <v>2</v>
      </c>
      <c r="C8">
        <v>10</v>
      </c>
      <c r="D8">
        <v>9772</v>
      </c>
      <c r="E8">
        <f>D8-Calibration!$E$3</f>
        <v>7342</v>
      </c>
      <c r="F8" s="3">
        <v>5</v>
      </c>
      <c r="G8" s="3">
        <v>1000</v>
      </c>
      <c r="H8" s="7">
        <f>(E8*Calibration!$E$2)*(F8/G8)*1000</f>
        <v>42.17580623538202</v>
      </c>
    </row>
    <row r="9" spans="1:8" ht="12.75">
      <c r="A9" t="s">
        <v>20</v>
      </c>
      <c r="B9">
        <v>2</v>
      </c>
      <c r="C9">
        <v>10</v>
      </c>
      <c r="D9">
        <v>10111</v>
      </c>
      <c r="E9">
        <f>D9-Calibration!$E$3</f>
        <v>7681</v>
      </c>
      <c r="F9" s="3">
        <v>5</v>
      </c>
      <c r="G9" s="3">
        <v>1000</v>
      </c>
      <c r="H9" s="7">
        <f>(E9*Calibration!$E$2)*(F9/G9)*1000</f>
        <v>44.123177294193596</v>
      </c>
    </row>
    <row r="10" spans="1:12" ht="12.75">
      <c r="A10" t="s">
        <v>21</v>
      </c>
      <c r="B10">
        <v>2</v>
      </c>
      <c r="C10">
        <v>45</v>
      </c>
      <c r="D10">
        <v>10756</v>
      </c>
      <c r="E10">
        <f>D10-Calibration!$E$3</f>
        <v>8326</v>
      </c>
      <c r="F10" s="3">
        <v>5</v>
      </c>
      <c r="G10" s="3">
        <v>1000</v>
      </c>
      <c r="H10" s="7">
        <f>(E10*Calibration!$E$2)*(F10/G10)*1000</f>
        <v>47.82835231759613</v>
      </c>
      <c r="I10" s="8">
        <f>AVERAGE(H10,H11,H12)</f>
        <v>49.072984754398014</v>
      </c>
      <c r="J10">
        <f>STDEV(H10,H11,H12)</f>
        <v>3.6222543005888856</v>
      </c>
      <c r="K10" s="1">
        <f>J10/I10</f>
        <v>0.07381361290163327</v>
      </c>
      <c r="L10" s="2"/>
    </row>
    <row r="11" spans="1:8" ht="12.75">
      <c r="A11" t="s">
        <v>22</v>
      </c>
      <c r="B11">
        <v>2</v>
      </c>
      <c r="C11">
        <v>45</v>
      </c>
      <c r="D11">
        <v>11683</v>
      </c>
      <c r="E11">
        <f>D11-Calibration!$E$3</f>
        <v>9253</v>
      </c>
      <c r="F11" s="3">
        <v>5</v>
      </c>
      <c r="G11" s="3">
        <v>1000</v>
      </c>
      <c r="H11" s="7">
        <f>(E11*Calibration!$E$2)*(F11/G11)*1000</f>
        <v>53.15346432797465</v>
      </c>
    </row>
    <row r="12" spans="1:8" ht="12.75">
      <c r="A12" t="s">
        <v>23</v>
      </c>
      <c r="B12">
        <v>2</v>
      </c>
      <c r="C12">
        <v>45</v>
      </c>
      <c r="D12">
        <v>10479</v>
      </c>
      <c r="E12">
        <f>D12-Calibration!$E$3</f>
        <v>8049</v>
      </c>
      <c r="F12" s="3">
        <v>5</v>
      </c>
      <c r="G12" s="3">
        <v>1000</v>
      </c>
      <c r="H12" s="7">
        <f>(E12*Calibration!$E$2)*(F12/G12)*1000</f>
        <v>46.237137617623254</v>
      </c>
    </row>
    <row r="13" spans="1:12" ht="12.75">
      <c r="A13" t="s">
        <v>24</v>
      </c>
      <c r="B13">
        <v>2</v>
      </c>
      <c r="C13">
        <v>75</v>
      </c>
      <c r="D13">
        <v>12563</v>
      </c>
      <c r="E13">
        <f>D13-Calibration!$E$3</f>
        <v>10133</v>
      </c>
      <c r="F13" s="3">
        <v>5</v>
      </c>
      <c r="G13" s="3">
        <v>1000</v>
      </c>
      <c r="H13" s="7">
        <f>(E13*Calibration!$E$2)*(F13/G13)*1000</f>
        <v>58.20858684052385</v>
      </c>
      <c r="I13" s="8">
        <f>AVERAGE(H13,H14,H15)</f>
        <v>59.246418810903265</v>
      </c>
      <c r="J13">
        <f>STDEV(H13,H14,H15)</f>
        <v>0.9418341126931885</v>
      </c>
      <c r="K13" s="1">
        <f>J13/I13</f>
        <v>0.01589689523174792</v>
      </c>
      <c r="L13" s="2"/>
    </row>
    <row r="14" spans="1:8" ht="12.75">
      <c r="A14" t="s">
        <v>25</v>
      </c>
      <c r="B14">
        <v>2</v>
      </c>
      <c r="C14">
        <v>75</v>
      </c>
      <c r="D14">
        <v>12785</v>
      </c>
      <c r="E14">
        <f>D14-Calibration!$E$3</f>
        <v>10355</v>
      </c>
      <c r="F14" s="3">
        <v>5</v>
      </c>
      <c r="G14" s="3">
        <v>1000</v>
      </c>
      <c r="H14" s="7">
        <f>(E14*Calibration!$E$2)*(F14/G14)*1000</f>
        <v>59.48385638346239</v>
      </c>
    </row>
    <row r="15" spans="1:8" ht="12.75">
      <c r="A15" t="s">
        <v>26</v>
      </c>
      <c r="B15">
        <v>2</v>
      </c>
      <c r="C15">
        <v>75</v>
      </c>
      <c r="D15">
        <v>12883</v>
      </c>
      <c r="E15">
        <f>D15-Calibration!$E$3</f>
        <v>10453</v>
      </c>
      <c r="F15" s="3">
        <v>5</v>
      </c>
      <c r="G15" s="3">
        <v>1000</v>
      </c>
      <c r="H15" s="7">
        <f>(E15*Calibration!$E$2)*(F15/G15)*1000</f>
        <v>60.04681320872355</v>
      </c>
    </row>
    <row r="16" spans="1:12" ht="12.75">
      <c r="A16" t="s">
        <v>27</v>
      </c>
      <c r="B16">
        <v>2</v>
      </c>
      <c r="C16">
        <v>100</v>
      </c>
      <c r="D16">
        <v>12357</v>
      </c>
      <c r="E16">
        <f>D16-Calibration!$E$3</f>
        <v>9927</v>
      </c>
      <c r="F16" s="3">
        <v>5</v>
      </c>
      <c r="G16" s="3">
        <v>1000</v>
      </c>
      <c r="H16" s="7">
        <f>(E16*Calibration!$E$2)*(F16/G16)*1000</f>
        <v>57.02522861599529</v>
      </c>
      <c r="I16" s="8">
        <f>AVERAGE(H16,H17,H18)</f>
        <v>52.730289299462015</v>
      </c>
      <c r="J16">
        <f>STDEV(H16,H17,H18)</f>
        <v>3.7402829272379643</v>
      </c>
      <c r="K16" s="1">
        <f>J16/I16</f>
        <v>0.07093234224444364</v>
      </c>
      <c r="L16" s="2"/>
    </row>
    <row r="17" spans="1:8" ht="12.75">
      <c r="A17" t="s">
        <v>28</v>
      </c>
      <c r="B17">
        <v>2</v>
      </c>
      <c r="C17">
        <v>100</v>
      </c>
      <c r="D17">
        <v>11304</v>
      </c>
      <c r="E17">
        <f>D17-Calibration!$E$3</f>
        <v>8874</v>
      </c>
      <c r="F17" s="3">
        <v>5</v>
      </c>
      <c r="G17" s="3">
        <v>1000</v>
      </c>
      <c r="H17" s="7">
        <f>(E17*Calibration!$E$2)*(F17/G17)*1000</f>
        <v>50.97631497313812</v>
      </c>
    </row>
    <row r="18" spans="1:8" ht="12.75">
      <c r="A18" t="s">
        <v>29</v>
      </c>
      <c r="B18">
        <v>2</v>
      </c>
      <c r="C18">
        <v>100</v>
      </c>
      <c r="D18">
        <v>11167</v>
      </c>
      <c r="E18">
        <f>D18-Calibration!$E$3</f>
        <v>8737</v>
      </c>
      <c r="F18" s="3">
        <v>5</v>
      </c>
      <c r="G18" s="3">
        <v>1000</v>
      </c>
      <c r="H18" s="7">
        <f>(E18*Calibration!$E$2)*(F18/G18)*1000</f>
        <v>50.189324309252626</v>
      </c>
    </row>
    <row r="19" spans="1:12" ht="12.75">
      <c r="A19" t="s">
        <v>30</v>
      </c>
      <c r="B19">
        <v>2</v>
      </c>
      <c r="C19">
        <v>150</v>
      </c>
      <c r="D19">
        <v>6867</v>
      </c>
      <c r="E19">
        <f>D19-Calibration!$E$3</f>
        <v>4437</v>
      </c>
      <c r="F19" s="3">
        <v>5</v>
      </c>
      <c r="G19" s="3">
        <v>1000</v>
      </c>
      <c r="H19" s="7">
        <f>(E19*Calibration!$E$2)*(F19/G19)*1000</f>
        <v>25.48815748656906</v>
      </c>
      <c r="I19" s="8">
        <f>AVERAGE(H19,H20,H21)</f>
        <v>24.494366356261096</v>
      </c>
      <c r="J19">
        <f>STDEV(H19,H20,H21)</f>
        <v>3.1003523640670747</v>
      </c>
      <c r="K19" s="1">
        <f>J19/I19</f>
        <v>0.1265740994877617</v>
      </c>
      <c r="L19" s="2"/>
    </row>
    <row r="20" spans="1:8" ht="12.75">
      <c r="A20" t="s">
        <v>31</v>
      </c>
      <c r="B20">
        <v>2</v>
      </c>
      <c r="C20">
        <v>150</v>
      </c>
      <c r="D20">
        <v>7126</v>
      </c>
      <c r="E20">
        <f>D20-Calibration!$E$3</f>
        <v>4696</v>
      </c>
      <c r="F20" s="3">
        <v>5</v>
      </c>
      <c r="G20" s="3">
        <v>1000</v>
      </c>
      <c r="H20" s="7">
        <f>(E20*Calibration!$E$2)*(F20/G20)*1000</f>
        <v>26.975971953330696</v>
      </c>
    </row>
    <row r="21" spans="1:8" ht="12.75">
      <c r="A21" t="s">
        <v>32</v>
      </c>
      <c r="B21">
        <v>2</v>
      </c>
      <c r="C21">
        <v>150</v>
      </c>
      <c r="D21">
        <v>6089</v>
      </c>
      <c r="E21">
        <f>D21-Calibration!$E$3</f>
        <v>3659</v>
      </c>
      <c r="F21" s="3">
        <v>5</v>
      </c>
      <c r="G21" s="3">
        <v>1000</v>
      </c>
      <c r="H21" s="7">
        <f>(E21*Calibration!$E$2)*(F21/G21)*1000</f>
        <v>21.01896962888353</v>
      </c>
    </row>
    <row r="22" spans="1:12" ht="12.75">
      <c r="A22" t="s">
        <v>33</v>
      </c>
      <c r="B22">
        <v>3</v>
      </c>
      <c r="C22">
        <v>10</v>
      </c>
      <c r="D22">
        <v>9304</v>
      </c>
      <c r="E22">
        <f>D22-Calibration!$E$3</f>
        <v>6874</v>
      </c>
      <c r="F22" s="3">
        <v>5</v>
      </c>
      <c r="G22" s="3">
        <v>1000</v>
      </c>
      <c r="H22" s="7">
        <f>(E22*Calibration!$E$2)*(F22/G22)*1000</f>
        <v>39.48740017188995</v>
      </c>
      <c r="I22" s="8">
        <f>AVERAGE(H22,H23,H24)</f>
        <v>56.72651683116283</v>
      </c>
      <c r="J22">
        <f>STDEV(H22,H23,H24)</f>
        <v>17.84132755934487</v>
      </c>
      <c r="K22" s="1">
        <f>J22/I22</f>
        <v>0.31451477291381474</v>
      </c>
      <c r="L22" s="2"/>
    </row>
    <row r="23" spans="1:8" ht="12.75">
      <c r="A23" t="s">
        <v>34</v>
      </c>
      <c r="B23">
        <v>3</v>
      </c>
      <c r="C23">
        <v>10</v>
      </c>
      <c r="D23">
        <v>15506</v>
      </c>
      <c r="E23">
        <f>D23-Calibration!$E$3</f>
        <v>13076</v>
      </c>
      <c r="F23" s="3">
        <v>5</v>
      </c>
      <c r="G23" s="3">
        <v>1000</v>
      </c>
      <c r="H23" s="7">
        <f>(E23*Calibration!$E$2)*(F23/G23)*1000</f>
        <v>75.11452497056052</v>
      </c>
    </row>
    <row r="24" spans="1:8" ht="12.75">
      <c r="A24" t="s">
        <v>35</v>
      </c>
      <c r="B24">
        <v>3</v>
      </c>
      <c r="C24">
        <v>10</v>
      </c>
      <c r="D24">
        <v>12105</v>
      </c>
      <c r="E24">
        <f>D24-Calibration!$E$3</f>
        <v>9675</v>
      </c>
      <c r="F24" s="3">
        <v>5</v>
      </c>
      <c r="G24" s="3">
        <v>1000</v>
      </c>
      <c r="H24" s="7">
        <f>(E24*Calibration!$E$2)*(F24/G24)*1000</f>
        <v>55.577625351038016</v>
      </c>
    </row>
    <row r="25" spans="1:12" ht="12.75">
      <c r="A25" t="s">
        <v>36</v>
      </c>
      <c r="B25">
        <v>3</v>
      </c>
      <c r="C25">
        <v>45</v>
      </c>
      <c r="D25">
        <v>12832</v>
      </c>
      <c r="E25">
        <f>D25-Calibration!$E$3</f>
        <v>10402</v>
      </c>
      <c r="F25" s="3">
        <v>5</v>
      </c>
      <c r="G25" s="3">
        <v>1000</v>
      </c>
      <c r="H25" s="7">
        <f>(E25*Calibration!$E$2)*(F25/G25)*1000</f>
        <v>59.75384588129172</v>
      </c>
      <c r="I25" s="8">
        <f>AVERAGE(H25,H26,H27)</f>
        <v>63.55476186137133</v>
      </c>
      <c r="J25">
        <f>STDEV(H25,H26,H27)</f>
        <v>4.751483529105287</v>
      </c>
      <c r="K25" s="1">
        <f>J25/I25</f>
        <v>0.07476203812185543</v>
      </c>
      <c r="L25" s="2"/>
    </row>
    <row r="26" spans="1:8" ht="12.75">
      <c r="A26" t="s">
        <v>37</v>
      </c>
      <c r="B26">
        <v>3</v>
      </c>
      <c r="C26">
        <v>45</v>
      </c>
      <c r="D26">
        <v>13228</v>
      </c>
      <c r="E26">
        <f>D26-Calibration!$E$3</f>
        <v>10798</v>
      </c>
      <c r="F26" s="3">
        <v>5</v>
      </c>
      <c r="G26" s="3">
        <v>1000</v>
      </c>
      <c r="H26" s="7">
        <f>(E26*Calibration!$E$2)*(F26/G26)*1000</f>
        <v>62.02865101193886</v>
      </c>
    </row>
    <row r="27" spans="1:8" ht="12.75">
      <c r="A27" t="s">
        <v>38</v>
      </c>
      <c r="B27">
        <v>3</v>
      </c>
      <c r="C27">
        <v>45</v>
      </c>
      <c r="D27">
        <v>14421</v>
      </c>
      <c r="E27">
        <f>D27-Calibration!$E$3</f>
        <v>11991</v>
      </c>
      <c r="F27" s="3">
        <v>5</v>
      </c>
      <c r="G27" s="3">
        <v>1000</v>
      </c>
      <c r="H27" s="7">
        <f>(E27*Calibration!$E$2)*(F27/G27)*1000</f>
        <v>68.8817886908834</v>
      </c>
    </row>
    <row r="28" spans="1:12" ht="12.75">
      <c r="A28" t="s">
        <v>39</v>
      </c>
      <c r="B28">
        <v>3</v>
      </c>
      <c r="C28">
        <v>75</v>
      </c>
      <c r="D28">
        <v>13845</v>
      </c>
      <c r="E28">
        <f>D28-Calibration!$E$3</f>
        <v>11415</v>
      </c>
      <c r="F28" s="3">
        <v>5</v>
      </c>
      <c r="G28" s="3">
        <v>1000</v>
      </c>
      <c r="H28" s="7">
        <f>(E28*Calibration!$E$2)*(F28/G28)*1000</f>
        <v>65.57298122812391</v>
      </c>
      <c r="I28" s="8">
        <f>AVERAGE(H28,H29,H30)</f>
        <v>64.44132312020098</v>
      </c>
      <c r="J28">
        <f>STDEV(H28,H29,H30)</f>
        <v>1.6612212008398224</v>
      </c>
      <c r="K28" s="1">
        <f>J28/I28</f>
        <v>0.02577881893798461</v>
      </c>
      <c r="L28" s="2"/>
    </row>
    <row r="29" spans="1:8" ht="12.75">
      <c r="A29" t="s">
        <v>40</v>
      </c>
      <c r="B29">
        <v>3</v>
      </c>
      <c r="C29">
        <v>75</v>
      </c>
      <c r="D29">
        <v>13783</v>
      </c>
      <c r="E29">
        <f>D29-Calibration!$E$3</f>
        <v>11353</v>
      </c>
      <c r="F29" s="3">
        <v>5</v>
      </c>
      <c r="G29" s="3">
        <v>1000</v>
      </c>
      <c r="H29" s="7">
        <f>(E29*Calibration!$E$2)*(F29/G29)*1000</f>
        <v>65.21682486928523</v>
      </c>
    </row>
    <row r="30" spans="1:8" ht="12.75">
      <c r="A30" t="s">
        <v>41</v>
      </c>
      <c r="B30">
        <v>3</v>
      </c>
      <c r="C30">
        <v>75</v>
      </c>
      <c r="D30">
        <v>13316</v>
      </c>
      <c r="E30">
        <f>D30-Calibration!$E$3</f>
        <v>10886</v>
      </c>
      <c r="F30" s="3">
        <v>5</v>
      </c>
      <c r="G30" s="3">
        <v>1000</v>
      </c>
      <c r="H30" s="7">
        <f>(E30*Calibration!$E$2)*(F30/G30)*1000</f>
        <v>62.53416326319379</v>
      </c>
    </row>
    <row r="31" spans="1:12" ht="12.75">
      <c r="A31" t="s">
        <v>42</v>
      </c>
      <c r="B31">
        <v>3</v>
      </c>
      <c r="C31">
        <v>100</v>
      </c>
      <c r="D31">
        <v>13401</v>
      </c>
      <c r="E31">
        <f>D31-Calibration!$E$3</f>
        <v>10971</v>
      </c>
      <c r="F31" s="3">
        <v>5</v>
      </c>
      <c r="G31" s="3">
        <v>1000</v>
      </c>
      <c r="H31" s="7">
        <f>(E31*Calibration!$E$2)*(F31/G31)*1000</f>
        <v>63.022442142246824</v>
      </c>
      <c r="I31" s="8">
        <f>AVERAGE(H31,H32,H33)</f>
        <v>60.32254716395351</v>
      </c>
      <c r="J31">
        <f>STDEV(H31,H32,H33)</f>
        <v>3.2026882685773987</v>
      </c>
      <c r="K31" s="1">
        <f>J31/I31</f>
        <v>0.05309272269078195</v>
      </c>
      <c r="L31" s="2"/>
    </row>
    <row r="32" spans="1:8" ht="12.75">
      <c r="A32" t="s">
        <v>43</v>
      </c>
      <c r="B32">
        <v>3</v>
      </c>
      <c r="C32">
        <v>100</v>
      </c>
      <c r="D32">
        <v>13077</v>
      </c>
      <c r="E32">
        <f>D32-Calibration!$E$3</f>
        <v>10647</v>
      </c>
      <c r="F32" s="3">
        <v>5</v>
      </c>
      <c r="G32" s="3">
        <v>1000</v>
      </c>
      <c r="H32" s="7">
        <f>(E32*Calibration!$E$2)*(F32/G32)*1000</f>
        <v>61.16123794444462</v>
      </c>
    </row>
    <row r="33" spans="1:8" ht="12.75">
      <c r="A33" t="s">
        <v>44</v>
      </c>
      <c r="B33">
        <v>3</v>
      </c>
      <c r="C33">
        <v>100</v>
      </c>
      <c r="D33">
        <v>12315</v>
      </c>
      <c r="E33">
        <f>D33-Calibration!$E$3</f>
        <v>9885</v>
      </c>
      <c r="F33" s="3">
        <v>5</v>
      </c>
      <c r="G33" s="3">
        <v>1000</v>
      </c>
      <c r="H33" s="7">
        <f>(E33*Calibration!$E$2)*(F33/G33)*1000</f>
        <v>56.783961405169066</v>
      </c>
    </row>
    <row r="34" spans="1:12" ht="12.75">
      <c r="A34" t="s">
        <v>45</v>
      </c>
      <c r="B34">
        <v>3</v>
      </c>
      <c r="C34">
        <v>150</v>
      </c>
      <c r="D34">
        <v>5622</v>
      </c>
      <c r="E34">
        <f>D34-Calibration!$E$3</f>
        <v>3192</v>
      </c>
      <c r="F34" s="3">
        <v>5</v>
      </c>
      <c r="G34" s="3">
        <v>1000</v>
      </c>
      <c r="H34" s="7">
        <f>(E34*Calibration!$E$2)*(F34/G34)*1000</f>
        <v>18.336308022792075</v>
      </c>
      <c r="I34" s="8">
        <f>AVERAGE(H34,H35,H36)</f>
        <v>20.107515721317835</v>
      </c>
      <c r="J34">
        <f>STDEV(H34,H35,H36)</f>
        <v>1.8168505837471003</v>
      </c>
      <c r="K34" s="1">
        <f>J34/I34</f>
        <v>0.0903567904124968</v>
      </c>
      <c r="L34" s="2"/>
    </row>
    <row r="35" spans="1:8" ht="12.75">
      <c r="A35" t="s">
        <v>46</v>
      </c>
      <c r="B35">
        <v>3</v>
      </c>
      <c r="C35">
        <v>150</v>
      </c>
      <c r="D35">
        <v>6254</v>
      </c>
      <c r="E35">
        <f>D35-Calibration!$E$3</f>
        <v>3824</v>
      </c>
      <c r="F35" s="3">
        <v>5</v>
      </c>
      <c r="G35" s="3">
        <v>1000</v>
      </c>
      <c r="H35" s="7">
        <f>(E35*Calibration!$E$2)*(F35/G35)*1000</f>
        <v>21.966805099986498</v>
      </c>
    </row>
    <row r="36" spans="1:8" ht="12.75">
      <c r="A36" t="s">
        <v>47</v>
      </c>
      <c r="B36">
        <v>3</v>
      </c>
      <c r="C36">
        <v>150</v>
      </c>
      <c r="D36">
        <v>5915</v>
      </c>
      <c r="E36">
        <f>D36-Calibration!$E$3</f>
        <v>3485</v>
      </c>
      <c r="F36" s="3">
        <v>5</v>
      </c>
      <c r="G36" s="3">
        <v>1000</v>
      </c>
      <c r="H36" s="7">
        <f>(E36*Calibration!$E$2)*(F36/G36)*1000</f>
        <v>20.019434041174936</v>
      </c>
    </row>
    <row r="37" spans="1:8" ht="12.75">
      <c r="A37" t="s">
        <v>139</v>
      </c>
      <c r="H37" s="7"/>
    </row>
    <row r="38" ht="12.75">
      <c r="A38" t="s">
        <v>132</v>
      </c>
    </row>
    <row r="39" spans="1:9" ht="12.75">
      <c r="A39" t="s">
        <v>65</v>
      </c>
      <c r="E39">
        <v>4843</v>
      </c>
      <c r="F39" s="3">
        <v>5</v>
      </c>
      <c r="G39" s="3">
        <v>1000</v>
      </c>
      <c r="H39" s="7">
        <f>(E39*Calibration!$E$2)*(F39/G39)*1000</f>
        <v>27.82040719122244</v>
      </c>
      <c r="I39">
        <f>H39/5</f>
        <v>5.564081438244488</v>
      </c>
    </row>
    <row r="40" spans="1:9" ht="12.75">
      <c r="A40" t="s">
        <v>66</v>
      </c>
      <c r="E40">
        <v>5492</v>
      </c>
      <c r="F40" s="3">
        <v>5</v>
      </c>
      <c r="G40" s="3">
        <v>1000</v>
      </c>
      <c r="H40" s="7">
        <f>(E40*Calibration!$E$2)*(F40/G40)*1000</f>
        <v>31.54856004422747</v>
      </c>
      <c r="I40">
        <f>H40/5</f>
        <v>6.309712008845494</v>
      </c>
    </row>
    <row r="41" spans="1:9" ht="12.75">
      <c r="A41" t="s">
        <v>67</v>
      </c>
      <c r="E41">
        <v>4689</v>
      </c>
      <c r="F41" s="3">
        <v>5</v>
      </c>
      <c r="G41" s="3">
        <v>1000</v>
      </c>
      <c r="H41" s="7">
        <f>(E41*Calibration!$E$2)*(F41/G41)*1000</f>
        <v>26.935760751526335</v>
      </c>
      <c r="I41">
        <f>H41/5</f>
        <v>5.387152150305267</v>
      </c>
    </row>
    <row r="42" spans="1:9" ht="12.75">
      <c r="A42" t="s">
        <v>68</v>
      </c>
      <c r="E42">
        <v>4729</v>
      </c>
      <c r="F42" s="3">
        <v>5</v>
      </c>
      <c r="G42" s="3">
        <v>1000</v>
      </c>
      <c r="H42" s="7">
        <f>(E42*Calibration!$E$2)*(F42/G42)*1000</f>
        <v>27.16553904755129</v>
      </c>
      <c r="I42">
        <f>H42/5</f>
        <v>5.4331078095102585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22">
      <selection activeCell="I44" sqref="I44"/>
    </sheetView>
  </sheetViews>
  <sheetFormatPr defaultColWidth="9.140625" defaultRowHeight="12.75"/>
  <cols>
    <col min="8" max="8" width="7.28125" style="0" customWidth="1"/>
    <col min="11" max="11" width="9.140625" style="24" customWidth="1"/>
  </cols>
  <sheetData>
    <row r="1" ht="12.75">
      <c r="H1" t="s">
        <v>64</v>
      </c>
    </row>
    <row r="2" spans="1:11" s="4" customFormat="1" ht="38.25">
      <c r="A2" s="4" t="s">
        <v>48</v>
      </c>
      <c r="B2" s="4" t="s">
        <v>49</v>
      </c>
      <c r="C2" s="4" t="s">
        <v>50</v>
      </c>
      <c r="D2" s="4" t="s">
        <v>58</v>
      </c>
      <c r="E2" s="6" t="s">
        <v>70</v>
      </c>
      <c r="F2" s="6" t="s">
        <v>62</v>
      </c>
      <c r="G2" s="6" t="s">
        <v>63</v>
      </c>
      <c r="H2" s="6" t="s">
        <v>61</v>
      </c>
      <c r="I2" s="4" t="s">
        <v>56</v>
      </c>
      <c r="J2" s="4" t="s">
        <v>57</v>
      </c>
      <c r="K2" s="25" t="s">
        <v>55</v>
      </c>
    </row>
    <row r="3" spans="1:11" ht="12.75">
      <c r="A3" t="s">
        <v>93</v>
      </c>
      <c r="B3">
        <v>4</v>
      </c>
      <c r="C3">
        <v>10</v>
      </c>
      <c r="D3">
        <v>7281</v>
      </c>
      <c r="E3">
        <f>D3-Calibration!$I$3</f>
        <v>5881.2</v>
      </c>
      <c r="F3" s="3">
        <v>5</v>
      </c>
      <c r="G3" s="3">
        <v>1000</v>
      </c>
      <c r="H3" s="7">
        <f>(E3*Calibration!$I$2)*(F3/G3)*1000</f>
        <v>41.732166257832155</v>
      </c>
      <c r="I3" s="21">
        <f>AVERAGE(H3,H4,H5)</f>
        <v>40.253862288622635</v>
      </c>
      <c r="J3" s="18">
        <f>STDEV(H3,H4,H5)</f>
        <v>5.822723466746715</v>
      </c>
      <c r="K3" s="22">
        <f>J3/I3</f>
        <v>0.14465005680690798</v>
      </c>
    </row>
    <row r="4" spans="1:11" ht="12.75">
      <c r="A4" t="s">
        <v>94</v>
      </c>
      <c r="B4">
        <v>4</v>
      </c>
      <c r="C4">
        <v>10</v>
      </c>
      <c r="D4">
        <v>7769</v>
      </c>
      <c r="E4">
        <f>D4-Calibration!$I$3</f>
        <v>6369.2</v>
      </c>
      <c r="F4" s="3">
        <v>5</v>
      </c>
      <c r="G4" s="3">
        <v>1000</v>
      </c>
      <c r="H4" s="7">
        <f>(E4*Calibration!$I$2)*(F4/G4)*1000</f>
        <v>45.19494547530854</v>
      </c>
      <c r="K4" s="1"/>
    </row>
    <row r="5" spans="1:11" ht="12.75">
      <c r="A5" t="s">
        <v>95</v>
      </c>
      <c r="B5">
        <v>4</v>
      </c>
      <c r="C5">
        <v>10</v>
      </c>
      <c r="D5">
        <v>6168</v>
      </c>
      <c r="E5">
        <f>D5-Calibration!$I$3</f>
        <v>4768.2</v>
      </c>
      <c r="F5" s="3">
        <v>5</v>
      </c>
      <c r="G5" s="3">
        <v>1000</v>
      </c>
      <c r="H5" s="7">
        <f>(E5*Calibration!$I$2)*(F5/G5)*1000</f>
        <v>33.83447513272721</v>
      </c>
      <c r="K5" s="1"/>
    </row>
    <row r="6" spans="1:11" ht="12.75">
      <c r="A6" t="s">
        <v>96</v>
      </c>
      <c r="B6">
        <v>4</v>
      </c>
      <c r="C6">
        <v>45</v>
      </c>
      <c r="D6">
        <v>10716</v>
      </c>
      <c r="E6">
        <f>D6-Calibration!$I$3</f>
        <v>9316.2</v>
      </c>
      <c r="F6" s="19">
        <v>5</v>
      </c>
      <c r="G6" s="19">
        <v>1000</v>
      </c>
      <c r="H6" s="7">
        <f>(E6*Calibration!$I$2)*(F6/G6)*1000</f>
        <v>66.10644210215874</v>
      </c>
      <c r="I6" s="21">
        <f>AVERAGE(H6,H7,H8)</f>
        <v>64.53352667891981</v>
      </c>
      <c r="J6" s="18">
        <f>STDEV(H6,H7,H8)</f>
        <v>1.6755595686552731</v>
      </c>
      <c r="K6" s="22">
        <f>J6/I6</f>
        <v>0.025964171724131152</v>
      </c>
    </row>
    <row r="7" spans="1:11" ht="12.75">
      <c r="A7" t="s">
        <v>97</v>
      </c>
      <c r="B7">
        <v>4</v>
      </c>
      <c r="C7">
        <v>45</v>
      </c>
      <c r="D7">
        <v>10521</v>
      </c>
      <c r="E7">
        <f>D7-Calibration!$I$3</f>
        <v>9121.2</v>
      </c>
      <c r="F7" s="3">
        <v>5</v>
      </c>
      <c r="G7" s="3">
        <v>1000</v>
      </c>
      <c r="H7" s="7">
        <f>(E7*Calibration!$I$2)*(F7/G7)*1000</f>
        <v>64.72274958697862</v>
      </c>
      <c r="K7" s="1"/>
    </row>
    <row r="8" spans="1:11" ht="12.75">
      <c r="A8" t="s">
        <v>98</v>
      </c>
      <c r="B8">
        <v>4</v>
      </c>
      <c r="C8">
        <v>45</v>
      </c>
      <c r="D8">
        <v>10246</v>
      </c>
      <c r="E8">
        <f>D8-Calibration!$I$3</f>
        <v>8846.2</v>
      </c>
      <c r="F8" s="3">
        <v>5</v>
      </c>
      <c r="G8" s="3">
        <v>1000</v>
      </c>
      <c r="H8" s="7">
        <f>(E8*Calibration!$I$2)*(F8/G8)*1000</f>
        <v>62.77138834762205</v>
      </c>
      <c r="K8" s="1"/>
    </row>
    <row r="9" spans="1:11" ht="12.75">
      <c r="A9" t="s">
        <v>99</v>
      </c>
      <c r="B9">
        <v>4</v>
      </c>
      <c r="C9">
        <v>75</v>
      </c>
      <c r="D9">
        <v>9474</v>
      </c>
      <c r="E9">
        <f>D9-Calibration!$I$3</f>
        <v>8074.2</v>
      </c>
      <c r="F9" s="3">
        <v>5</v>
      </c>
      <c r="G9" s="3">
        <v>1000</v>
      </c>
      <c r="H9" s="7">
        <f>(E9*Calibration!$I$2)*(F9/G9)*1000</f>
        <v>57.293385159319264</v>
      </c>
      <c r="I9" s="21">
        <f>AVERAGE(H9,H10,H11)</f>
        <v>58.594292652223636</v>
      </c>
      <c r="J9" s="18">
        <f>STDEV(H9,H10,H11)</f>
        <v>1.6819481222669526</v>
      </c>
      <c r="K9" s="22">
        <f>J9/I9</f>
        <v>0.028704982108920862</v>
      </c>
    </row>
    <row r="10" spans="1:11" ht="12.75">
      <c r="A10" t="s">
        <v>100</v>
      </c>
      <c r="B10">
        <v>4</v>
      </c>
      <c r="C10">
        <v>75</v>
      </c>
      <c r="D10">
        <v>9573</v>
      </c>
      <c r="E10">
        <f>D10-Calibration!$I$3</f>
        <v>8173.2</v>
      </c>
      <c r="F10" s="19">
        <v>5</v>
      </c>
      <c r="G10" s="19">
        <v>1000</v>
      </c>
      <c r="H10" s="7">
        <f>(E10*Calibration!$I$2)*(F10/G10)*1000</f>
        <v>57.99587520548762</v>
      </c>
      <c r="K10" s="1"/>
    </row>
    <row r="11" spans="1:11" ht="12.75">
      <c r="A11" t="s">
        <v>101</v>
      </c>
      <c r="B11">
        <v>4</v>
      </c>
      <c r="C11">
        <v>75</v>
      </c>
      <c r="D11">
        <v>9925</v>
      </c>
      <c r="E11">
        <f>D11-Calibration!$I$3</f>
        <v>8525.2</v>
      </c>
      <c r="F11" s="3">
        <v>5</v>
      </c>
      <c r="G11" s="3">
        <v>1000</v>
      </c>
      <c r="H11" s="7">
        <f>(E11*Calibration!$I$2)*(F11/G11)*1000</f>
        <v>60.49361759186404</v>
      </c>
      <c r="K11" s="1"/>
    </row>
    <row r="12" spans="1:11" ht="12.75">
      <c r="A12" t="s">
        <v>102</v>
      </c>
      <c r="B12">
        <v>4</v>
      </c>
      <c r="C12">
        <v>100</v>
      </c>
      <c r="D12">
        <v>9336</v>
      </c>
      <c r="E12">
        <f>D12-Calibration!$I$3</f>
        <v>7936.2</v>
      </c>
      <c r="F12" s="3">
        <v>5</v>
      </c>
      <c r="G12" s="3">
        <v>1000</v>
      </c>
      <c r="H12" s="7">
        <f>(E12*Calibration!$I$2)*(F12/G12)*1000</f>
        <v>56.31415661011487</v>
      </c>
      <c r="I12" s="21">
        <f>AVERAGE(H12,H13,H14)</f>
        <v>54.043481713409044</v>
      </c>
      <c r="J12" s="18">
        <f>STDEV(H12,H13,H14)</f>
        <v>5.408236421755932</v>
      </c>
      <c r="K12" s="22">
        <f>J12/I12</f>
        <v>0.1000719467046118</v>
      </c>
    </row>
    <row r="13" spans="1:11" ht="12.75">
      <c r="A13" t="s">
        <v>103</v>
      </c>
      <c r="B13">
        <v>4</v>
      </c>
      <c r="C13">
        <v>100</v>
      </c>
      <c r="D13">
        <v>9566</v>
      </c>
      <c r="E13">
        <f>D13-Calibration!$I$3</f>
        <v>8166.2</v>
      </c>
      <c r="F13" s="3">
        <v>5</v>
      </c>
      <c r="G13" s="3">
        <v>1000</v>
      </c>
      <c r="H13" s="7">
        <f>(E13*Calibration!$I$2)*(F13/G13)*1000</f>
        <v>57.94620419212218</v>
      </c>
      <c r="K13" s="1"/>
    </row>
    <row r="14" spans="1:11" ht="12.75">
      <c r="A14" t="s">
        <v>104</v>
      </c>
      <c r="B14">
        <v>4</v>
      </c>
      <c r="C14">
        <v>100</v>
      </c>
      <c r="D14">
        <v>8146</v>
      </c>
      <c r="E14">
        <f>D14-Calibration!$I$3</f>
        <v>6746.2</v>
      </c>
      <c r="F14" s="19">
        <v>5</v>
      </c>
      <c r="G14" s="19">
        <v>1000</v>
      </c>
      <c r="H14" s="7">
        <f>(E14*Calibration!$I$2)*(F14/G14)*1000</f>
        <v>47.870084337990086</v>
      </c>
      <c r="K14" s="1"/>
    </row>
    <row r="15" spans="1:11" ht="12.75">
      <c r="A15" t="s">
        <v>105</v>
      </c>
      <c r="B15">
        <v>4</v>
      </c>
      <c r="C15">
        <v>150</v>
      </c>
      <c r="D15">
        <v>2462</v>
      </c>
      <c r="E15">
        <f>D15-Calibration!$I$3</f>
        <v>1062.2</v>
      </c>
      <c r="F15" s="3">
        <v>5</v>
      </c>
      <c r="G15" s="3">
        <v>1000</v>
      </c>
      <c r="H15" s="7">
        <f>(E15*Calibration!$I$2)*(F15/G15)*1000</f>
        <v>7.5372214852528945</v>
      </c>
      <c r="I15" s="21">
        <f>AVERAGE(H15:H16)</f>
        <v>7.970068887437442</v>
      </c>
      <c r="J15" s="18">
        <f>STDEV(H15:H16)</f>
        <v>0.6121386666073491</v>
      </c>
      <c r="K15" s="22">
        <f>J15/I15</f>
        <v>0.07680468955195763</v>
      </c>
    </row>
    <row r="16" spans="1:8" ht="12.75">
      <c r="A16" t="s">
        <v>106</v>
      </c>
      <c r="B16">
        <v>4</v>
      </c>
      <c r="C16">
        <v>150</v>
      </c>
      <c r="D16">
        <v>2584</v>
      </c>
      <c r="E16">
        <f>D16-Calibration!$I$3</f>
        <v>1184.2</v>
      </c>
      <c r="F16" s="3">
        <v>5</v>
      </c>
      <c r="G16" s="3">
        <v>1000</v>
      </c>
      <c r="H16" s="7">
        <f>(E16*Calibration!$I$2)*(F16/G16)*1000</f>
        <v>8.40291628962199</v>
      </c>
    </row>
    <row r="17" spans="1:11" ht="12.75">
      <c r="A17" t="s">
        <v>107</v>
      </c>
      <c r="B17">
        <v>5</v>
      </c>
      <c r="C17">
        <v>10</v>
      </c>
      <c r="D17">
        <v>4094</v>
      </c>
      <c r="E17">
        <f>D17-Calibration!$I$3</f>
        <v>2694.2</v>
      </c>
      <c r="F17" s="3">
        <v>5</v>
      </c>
      <c r="G17" s="3">
        <v>1000</v>
      </c>
      <c r="H17" s="7">
        <f>(E17*Calibration!$I$2)*(F17/G17)*1000</f>
        <v>19.117663458452597</v>
      </c>
      <c r="I17" s="21">
        <f>AVERAGE(H17,H18,H19)</f>
        <v>24.70210453253848</v>
      </c>
      <c r="J17" s="18">
        <f>STDEV(H17,H18,H19)</f>
        <v>8.287826679358691</v>
      </c>
      <c r="K17" s="22">
        <f>J17/I17</f>
        <v>0.33551095488409394</v>
      </c>
    </row>
    <row r="18" spans="1:11" ht="12.75">
      <c r="A18" t="s">
        <v>108</v>
      </c>
      <c r="B18">
        <v>5</v>
      </c>
      <c r="C18">
        <v>10</v>
      </c>
      <c r="D18">
        <v>4326</v>
      </c>
      <c r="E18">
        <f>D18-Calibration!$I$3</f>
        <v>2926.2</v>
      </c>
      <c r="F18" s="19">
        <v>5</v>
      </c>
      <c r="G18" s="19">
        <v>1000</v>
      </c>
      <c r="H18" s="7">
        <f>(E18*Calibration!$I$2)*(F18/G18)*1000</f>
        <v>20.763902758564317</v>
      </c>
      <c r="K18" s="1"/>
    </row>
    <row r="19" spans="1:11" ht="12.75">
      <c r="A19" t="s">
        <v>109</v>
      </c>
      <c r="B19">
        <v>5</v>
      </c>
      <c r="C19">
        <v>10</v>
      </c>
      <c r="D19">
        <v>6223</v>
      </c>
      <c r="E19">
        <f>D19-Calibration!$I$3</f>
        <v>4823.2</v>
      </c>
      <c r="F19" s="3">
        <v>5</v>
      </c>
      <c r="G19" s="3">
        <v>1000</v>
      </c>
      <c r="H19" s="7">
        <f>(E19*Calibration!$I$2)*(F19/G19)*1000</f>
        <v>34.22474738059852</v>
      </c>
      <c r="K19" s="1"/>
    </row>
    <row r="20" spans="1:11" ht="12.75">
      <c r="A20" t="s">
        <v>110</v>
      </c>
      <c r="B20">
        <v>5</v>
      </c>
      <c r="C20">
        <v>45</v>
      </c>
      <c r="D20">
        <v>8569</v>
      </c>
      <c r="E20">
        <f>D20-Calibration!$I$3</f>
        <v>7169.2</v>
      </c>
      <c r="F20" s="3">
        <v>5</v>
      </c>
      <c r="G20" s="3">
        <v>1000</v>
      </c>
      <c r="H20" s="7">
        <f>(E20*Calibration!$I$2)*(F20/G20)*1000</f>
        <v>50.8716327170731</v>
      </c>
      <c r="I20" s="21">
        <f>AVERAGE(H20,H21,H22)</f>
        <v>46.060640279677635</v>
      </c>
      <c r="J20" s="18">
        <f>STDEV(H20,H21,H22)</f>
        <v>4.249744286631558</v>
      </c>
      <c r="K20" s="22">
        <f>J20/I20</f>
        <v>0.0922641166259815</v>
      </c>
    </row>
    <row r="21" spans="1:11" ht="12.75">
      <c r="A21" t="s">
        <v>111</v>
      </c>
      <c r="B21">
        <v>5</v>
      </c>
      <c r="C21">
        <v>45</v>
      </c>
      <c r="D21">
        <v>7670</v>
      </c>
      <c r="E21">
        <f>D21-Calibration!$I$3</f>
        <v>6270.2</v>
      </c>
      <c r="F21" s="3">
        <v>5</v>
      </c>
      <c r="G21" s="3">
        <v>1000</v>
      </c>
      <c r="H21" s="7">
        <f>(E21*Calibration!$I$2)*(F21/G21)*1000</f>
        <v>44.49245542914017</v>
      </c>
      <c r="K21" s="1"/>
    </row>
    <row r="22" spans="1:11" ht="12.75">
      <c r="A22" t="s">
        <v>112</v>
      </c>
      <c r="B22">
        <v>5</v>
      </c>
      <c r="C22">
        <v>45</v>
      </c>
      <c r="D22">
        <v>7434</v>
      </c>
      <c r="E22">
        <f>D22-Calibration!$I$3</f>
        <v>6034.2</v>
      </c>
      <c r="F22" s="19">
        <v>5</v>
      </c>
      <c r="G22" s="19">
        <v>1000</v>
      </c>
      <c r="H22" s="7">
        <f>(E22*Calibration!$I$2)*(F22/G22)*1000</f>
        <v>42.81783269281963</v>
      </c>
      <c r="K22" s="1"/>
    </row>
    <row r="23" spans="1:11" ht="12.75">
      <c r="A23" t="s">
        <v>113</v>
      </c>
      <c r="B23">
        <v>5</v>
      </c>
      <c r="C23">
        <v>75</v>
      </c>
      <c r="D23">
        <v>9468</v>
      </c>
      <c r="E23">
        <f>D23-Calibration!$I$3</f>
        <v>8068.2</v>
      </c>
      <c r="F23" s="3">
        <v>5</v>
      </c>
      <c r="G23" s="3">
        <v>1000</v>
      </c>
      <c r="H23" s="7">
        <f>(E23*Calibration!$I$2)*(F23/G23)*1000</f>
        <v>57.25081000500603</v>
      </c>
      <c r="I23" s="21">
        <f>AVERAGE(H23,H24,H25)</f>
        <v>57.17275555543176</v>
      </c>
      <c r="J23" s="18">
        <f>STDEV(H23,H24,H25)</f>
        <v>0.6739572068971862</v>
      </c>
      <c r="K23" s="22">
        <f>J23/I23</f>
        <v>0.011788083333568764</v>
      </c>
    </row>
    <row r="24" spans="1:11" ht="12.75">
      <c r="A24" t="s">
        <v>114</v>
      </c>
      <c r="B24">
        <v>5</v>
      </c>
      <c r="C24">
        <v>75</v>
      </c>
      <c r="D24">
        <v>9546</v>
      </c>
      <c r="E24">
        <f>D24-Calibration!$I$3</f>
        <v>8146.2</v>
      </c>
      <c r="F24" s="3">
        <v>5</v>
      </c>
      <c r="G24" s="3">
        <v>1000</v>
      </c>
      <c r="H24" s="7">
        <f>(E24*Calibration!$I$2)*(F24/G24)*1000</f>
        <v>57.804287011078074</v>
      </c>
      <c r="K24" s="1"/>
    </row>
    <row r="25" spans="1:11" ht="12.75">
      <c r="A25" t="s">
        <v>115</v>
      </c>
      <c r="B25">
        <v>5</v>
      </c>
      <c r="C25">
        <v>75</v>
      </c>
      <c r="D25">
        <v>9357</v>
      </c>
      <c r="E25">
        <f>D25-Calibration!$I$3</f>
        <v>7957.2</v>
      </c>
      <c r="F25" s="3">
        <v>5</v>
      </c>
      <c r="G25" s="3">
        <v>1000</v>
      </c>
      <c r="H25" s="7">
        <f>(E25*Calibration!$I$2)*(F25/G25)*1000</f>
        <v>56.46316965021119</v>
      </c>
      <c r="K25" s="1"/>
    </row>
    <row r="26" spans="1:11" ht="12.75">
      <c r="A26" t="s">
        <v>116</v>
      </c>
      <c r="B26">
        <v>5</v>
      </c>
      <c r="C26">
        <v>100</v>
      </c>
      <c r="D26">
        <v>8745</v>
      </c>
      <c r="E26">
        <f>D26-Calibration!$I$3</f>
        <v>7345.2</v>
      </c>
      <c r="F26" s="19">
        <v>5</v>
      </c>
      <c r="G26" s="19">
        <v>1000</v>
      </c>
      <c r="H26" s="7">
        <f>(E26*Calibration!$I$2)*(F26/G26)*1000</f>
        <v>52.120503910261306</v>
      </c>
      <c r="I26" s="21">
        <f>AVERAGE(H26,H27,H28)</f>
        <v>47.47271623106658</v>
      </c>
      <c r="J26" s="18">
        <f>STDEV(H26,H27,H28)</f>
        <v>4.027017232761722</v>
      </c>
      <c r="K26" s="22">
        <f>J26/I26</f>
        <v>0.08482803497404273</v>
      </c>
    </row>
    <row r="27" spans="1:11" ht="12.75">
      <c r="A27" t="s">
        <v>117</v>
      </c>
      <c r="B27">
        <v>5</v>
      </c>
      <c r="C27">
        <v>100</v>
      </c>
      <c r="D27">
        <v>7780</v>
      </c>
      <c r="E27">
        <f>D27-Calibration!$I$3</f>
        <v>6380.2</v>
      </c>
      <c r="F27" s="3">
        <v>5</v>
      </c>
      <c r="G27" s="3">
        <v>1000</v>
      </c>
      <c r="H27" s="7">
        <f>(E27*Calibration!$I$2)*(F27/G27)*1000</f>
        <v>45.272999924882804</v>
      </c>
      <c r="K27" s="1"/>
    </row>
    <row r="28" spans="1:11" ht="12.75">
      <c r="A28" t="s">
        <v>118</v>
      </c>
      <c r="B28">
        <v>5</v>
      </c>
      <c r="C28">
        <v>100</v>
      </c>
      <c r="D28">
        <v>7745</v>
      </c>
      <c r="E28">
        <f>D28-Calibration!$I$3</f>
        <v>6345.2</v>
      </c>
      <c r="F28" s="3">
        <v>5</v>
      </c>
      <c r="G28" s="3">
        <v>1000</v>
      </c>
      <c r="H28" s="7">
        <f>(E28*Calibration!$I$2)*(F28/G28)*1000</f>
        <v>45.0246448580556</v>
      </c>
      <c r="K28" s="1"/>
    </row>
    <row r="29" spans="1:11" ht="12.75">
      <c r="A29" t="s">
        <v>119</v>
      </c>
      <c r="B29">
        <v>5</v>
      </c>
      <c r="C29">
        <v>150</v>
      </c>
      <c r="D29">
        <v>4911</v>
      </c>
      <c r="E29">
        <f>D29-Calibration!$I$3</f>
        <v>3511.2</v>
      </c>
      <c r="F29" s="3">
        <v>5</v>
      </c>
      <c r="G29" s="3">
        <v>1000</v>
      </c>
      <c r="H29" s="7">
        <f>(E29*Calibration!$I$2)*(F29/G29)*1000</f>
        <v>24.91498030410465</v>
      </c>
      <c r="I29" s="21">
        <f>AVERAGE(H29:H31)</f>
        <v>25.27213854306567</v>
      </c>
      <c r="J29" s="18">
        <f>STDEV(H29:H31)</f>
        <v>1.9792274665446865</v>
      </c>
      <c r="K29" s="22">
        <f>J29/I29</f>
        <v>0.078316580259796</v>
      </c>
    </row>
    <row r="30" spans="1:8" ht="12.75">
      <c r="A30" t="s">
        <v>120</v>
      </c>
      <c r="B30">
        <v>5</v>
      </c>
      <c r="C30">
        <v>150</v>
      </c>
      <c r="D30">
        <v>4711</v>
      </c>
      <c r="E30">
        <f>D30-Calibration!$I$3</f>
        <v>3311.2</v>
      </c>
      <c r="F30" s="19">
        <v>5</v>
      </c>
      <c r="G30" s="19">
        <v>1000</v>
      </c>
      <c r="H30" s="7">
        <f>(E30*Calibration!$I$2)*(F30/G30)*1000</f>
        <v>23.49580849366351</v>
      </c>
    </row>
    <row r="31" spans="1:8" ht="12.75">
      <c r="A31" t="s">
        <v>121</v>
      </c>
      <c r="B31">
        <v>5</v>
      </c>
      <c r="C31">
        <v>150</v>
      </c>
      <c r="D31">
        <v>5262</v>
      </c>
      <c r="E31">
        <f>D31-Calibration!$I$3</f>
        <v>3862.2</v>
      </c>
      <c r="F31" s="3">
        <v>5</v>
      </c>
      <c r="G31" s="3">
        <v>1000</v>
      </c>
      <c r="H31" s="7">
        <f>(E31*Calibration!$I$2)*(F31/G31)*1000</f>
        <v>27.40562683142885</v>
      </c>
    </row>
    <row r="32" spans="1:11" ht="12.75">
      <c r="A32" t="s">
        <v>122</v>
      </c>
      <c r="B32">
        <v>6</v>
      </c>
      <c r="C32">
        <v>10</v>
      </c>
      <c r="D32">
        <v>7062</v>
      </c>
      <c r="E32">
        <f>D32-Calibration!$I$3</f>
        <v>5662.2</v>
      </c>
      <c r="F32" s="3">
        <v>5</v>
      </c>
      <c r="G32" s="3">
        <v>1000</v>
      </c>
      <c r="H32" s="7">
        <f>(E32*Calibration!$I$2)*(F32/G32)*1000</f>
        <v>40.17817312539911</v>
      </c>
      <c r="I32" s="21">
        <f>AVERAGE(H32,H33,H34)</f>
        <v>35.36718068800365</v>
      </c>
      <c r="J32" s="18">
        <f>STDEV(H32,H33,H34)</f>
        <v>4.217275051985201</v>
      </c>
      <c r="K32" s="22">
        <f>J32/I32</f>
        <v>0.11924261334790752</v>
      </c>
    </row>
    <row r="33" spans="1:11" ht="12.75">
      <c r="A33" t="s">
        <v>123</v>
      </c>
      <c r="B33">
        <v>6</v>
      </c>
      <c r="C33">
        <v>10</v>
      </c>
      <c r="D33">
        <v>5953</v>
      </c>
      <c r="E33">
        <f>D33-Calibration!$I$3</f>
        <v>4553.2</v>
      </c>
      <c r="F33" s="3">
        <v>5</v>
      </c>
      <c r="G33" s="3">
        <v>1000</v>
      </c>
      <c r="H33" s="7">
        <f>(E33*Calibration!$I$2)*(F33/G33)*1000</f>
        <v>32.30886543650299</v>
      </c>
      <c r="K33" s="1"/>
    </row>
    <row r="34" spans="1:11" ht="12.75">
      <c r="A34" t="s">
        <v>124</v>
      </c>
      <c r="B34">
        <v>6</v>
      </c>
      <c r="C34">
        <v>10</v>
      </c>
      <c r="D34">
        <v>6137</v>
      </c>
      <c r="E34">
        <f>D34-Calibration!$I$3</f>
        <v>4737.2</v>
      </c>
      <c r="F34" s="19">
        <v>5</v>
      </c>
      <c r="G34" s="19">
        <v>1000</v>
      </c>
      <c r="H34" s="7">
        <f>(E34*Calibration!$I$2)*(F34/G34)*1000</f>
        <v>33.61450350210884</v>
      </c>
      <c r="K34" s="1"/>
    </row>
    <row r="35" spans="1:11" ht="12.75">
      <c r="A35" t="s">
        <v>137</v>
      </c>
      <c r="B35">
        <v>6</v>
      </c>
      <c r="C35">
        <v>45</v>
      </c>
      <c r="D35">
        <v>8141</v>
      </c>
      <c r="E35">
        <f>D35-Calibration!$I$3</f>
        <v>6741.2</v>
      </c>
      <c r="F35" s="3">
        <v>5</v>
      </c>
      <c r="G35" s="3">
        <v>1000</v>
      </c>
      <c r="H35" s="7">
        <f>(E35*Calibration!$I$2)*(F35/G35)*1000</f>
        <v>47.83460504272906</v>
      </c>
      <c r="I35" s="21">
        <f>AVERAGE(H35,H36,H37)</f>
        <v>40.535331364360125</v>
      </c>
      <c r="J35" s="18">
        <f>STDEV(H35,H36,H37)</f>
        <v>6.548587338672093</v>
      </c>
      <c r="K35" s="22">
        <f>J35/I35</f>
        <v>0.16155257939817427</v>
      </c>
    </row>
    <row r="36" spans="1:11" ht="12.75">
      <c r="A36" t="s">
        <v>138</v>
      </c>
      <c r="B36">
        <v>6</v>
      </c>
      <c r="C36">
        <v>45</v>
      </c>
      <c r="D36">
        <v>6357</v>
      </c>
      <c r="E36">
        <f>D36-Calibration!$I$3</f>
        <v>4957.2</v>
      </c>
      <c r="F36" s="3">
        <v>5</v>
      </c>
      <c r="G36" s="3">
        <v>1000</v>
      </c>
      <c r="H36" s="7">
        <f>(E36*Calibration!$I$2)*(F36/G36)*1000</f>
        <v>35.17559249359409</v>
      </c>
      <c r="K36" s="1"/>
    </row>
    <row r="37" spans="1:11" ht="12.75">
      <c r="A37" t="s">
        <v>125</v>
      </c>
      <c r="B37">
        <v>6</v>
      </c>
      <c r="C37">
        <v>45</v>
      </c>
      <c r="D37">
        <v>6839</v>
      </c>
      <c r="E37">
        <f>D37-Calibration!$I$3</f>
        <v>5439.2</v>
      </c>
      <c r="F37" s="3">
        <v>5</v>
      </c>
      <c r="G37" s="3">
        <v>1000</v>
      </c>
      <c r="H37" s="7">
        <f>(E37*Calibration!$I$2)*(F37/G37)*1000</f>
        <v>38.595796556757236</v>
      </c>
      <c r="K37" s="1"/>
    </row>
    <row r="38" spans="1:11" ht="12.75">
      <c r="A38" t="s">
        <v>126</v>
      </c>
      <c r="B38">
        <v>6</v>
      </c>
      <c r="C38">
        <v>75</v>
      </c>
      <c r="D38">
        <v>7731</v>
      </c>
      <c r="E38">
        <f>D38-Calibration!$I$3</f>
        <v>6331.2</v>
      </c>
      <c r="F38" s="19">
        <v>5</v>
      </c>
      <c r="G38" s="19">
        <v>1000</v>
      </c>
      <c r="H38" s="7">
        <f>(E38*Calibration!$I$2)*(F38/G38)*1000</f>
        <v>44.92530283132472</v>
      </c>
      <c r="I38" s="21">
        <f>AVERAGE(H38,H39,H40)</f>
        <v>40.32009030644322</v>
      </c>
      <c r="J38" s="18">
        <f>STDEV(H38,H39,H40)</f>
        <v>4.258762937105985</v>
      </c>
      <c r="K38" s="22">
        <f>J38/I38</f>
        <v>0.10562384421111842</v>
      </c>
    </row>
    <row r="39" spans="1:11" ht="12.75">
      <c r="A39" t="s">
        <v>127</v>
      </c>
      <c r="B39">
        <v>6</v>
      </c>
      <c r="C39">
        <v>75</v>
      </c>
      <c r="D39">
        <v>6968</v>
      </c>
      <c r="E39">
        <f>D39-Calibration!$I$3</f>
        <v>5568.2</v>
      </c>
      <c r="F39" s="3">
        <v>5</v>
      </c>
      <c r="G39" s="3">
        <v>1000</v>
      </c>
      <c r="H39" s="7">
        <f>(E39*Calibration!$I$2)*(F39/G39)*1000</f>
        <v>39.511162374491775</v>
      </c>
      <c r="K39" s="1"/>
    </row>
    <row r="40" spans="1:11" ht="12.75">
      <c r="A40" t="s">
        <v>136</v>
      </c>
      <c r="B40">
        <v>6</v>
      </c>
      <c r="C40">
        <v>75</v>
      </c>
      <c r="D40">
        <v>6547</v>
      </c>
      <c r="E40">
        <f>D40-Calibration!$I$3</f>
        <v>5147.2</v>
      </c>
      <c r="F40" s="3">
        <v>5</v>
      </c>
      <c r="G40" s="3">
        <v>1000</v>
      </c>
      <c r="H40" s="7">
        <f>(E40*Calibration!$I$2)*(F40/G40)*1000</f>
        <v>36.52380571351317</v>
      </c>
      <c r="K40" s="1"/>
    </row>
    <row r="41" spans="1:11" ht="12.75">
      <c r="A41" t="s">
        <v>128</v>
      </c>
      <c r="B41">
        <v>6</v>
      </c>
      <c r="C41">
        <v>100</v>
      </c>
      <c r="D41">
        <v>8611</v>
      </c>
      <c r="E41">
        <f>D41-Calibration!$I$3</f>
        <v>7211.2</v>
      </c>
      <c r="F41" s="3">
        <v>5</v>
      </c>
      <c r="G41" s="3">
        <v>1000</v>
      </c>
      <c r="H41" s="7">
        <f>(E41*Calibration!$I$2)*(F41/G41)*1000</f>
        <v>51.16965879726574</v>
      </c>
      <c r="I41" s="21">
        <f>AVERAGE(H41,H42,H43)</f>
        <v>42.33058370456818</v>
      </c>
      <c r="J41" s="18">
        <f>STDEV(H41,H42,H43)</f>
        <v>8.371220236196017</v>
      </c>
      <c r="K41" s="22">
        <f>J41/I41</f>
        <v>0.19775820467348346</v>
      </c>
    </row>
    <row r="42" spans="1:11" ht="12.75">
      <c r="A42" t="s">
        <v>129</v>
      </c>
      <c r="B42">
        <v>6</v>
      </c>
      <c r="C42">
        <v>100</v>
      </c>
      <c r="D42">
        <v>7220</v>
      </c>
      <c r="E42">
        <f>D42-Calibration!$I$3</f>
        <v>5820.2</v>
      </c>
      <c r="F42" s="19">
        <v>5</v>
      </c>
      <c r="G42" s="19">
        <v>1000</v>
      </c>
      <c r="H42" s="7">
        <f>(E42*Calibration!$I$2)*(F42/G42)*1000</f>
        <v>41.29931885564761</v>
      </c>
      <c r="K42" s="1"/>
    </row>
    <row r="43" spans="1:11" ht="12.75">
      <c r="A43" t="s">
        <v>130</v>
      </c>
      <c r="B43">
        <v>6</v>
      </c>
      <c r="C43">
        <v>100</v>
      </c>
      <c r="D43">
        <v>6265</v>
      </c>
      <c r="E43">
        <f>D43-Calibration!$I$3</f>
        <v>4865.2</v>
      </c>
      <c r="F43" s="3">
        <v>5</v>
      </c>
      <c r="G43" s="3">
        <v>1000</v>
      </c>
      <c r="H43" s="7">
        <f>(E43*Calibration!$I$2)*(F43/G43)*1000</f>
        <v>34.52277346079117</v>
      </c>
      <c r="K43" s="1"/>
    </row>
    <row r="44" spans="1:11" ht="12.75">
      <c r="A44" t="s">
        <v>131</v>
      </c>
      <c r="B44">
        <v>6</v>
      </c>
      <c r="C44">
        <v>150</v>
      </c>
      <c r="D44">
        <v>4119</v>
      </c>
      <c r="E44">
        <f>D44-Calibration!$I$3</f>
        <v>2719.2</v>
      </c>
      <c r="F44" s="3">
        <v>5</v>
      </c>
      <c r="G44" s="3">
        <v>1000</v>
      </c>
      <c r="H44" s="7">
        <f>(E44*Calibration!$I$2)*(F44/G44)*1000</f>
        <v>19.295059934757738</v>
      </c>
      <c r="I44" s="21">
        <f>AVERAGE(H44:H46)</f>
        <v>14.119813399349049</v>
      </c>
      <c r="J44" s="18">
        <f>STDEV(H44:H46)</f>
        <v>4.772229431519741</v>
      </c>
      <c r="K44" s="22">
        <f>J44/I44</f>
        <v>0.33798105517030064</v>
      </c>
    </row>
    <row r="45" spans="1:8" ht="12.75">
      <c r="A45" t="s">
        <v>134</v>
      </c>
      <c r="B45">
        <v>6</v>
      </c>
      <c r="C45">
        <v>150</v>
      </c>
      <c r="D45">
        <v>3256</v>
      </c>
      <c r="E45">
        <f>D45-Calibration!$I$3</f>
        <v>1856.2</v>
      </c>
      <c r="F45" s="3">
        <v>5</v>
      </c>
      <c r="G45" s="3">
        <v>1000</v>
      </c>
      <c r="H45" s="7">
        <f>(E45*Calibration!$I$2)*(F45/G45)*1000</f>
        <v>13.17133357270422</v>
      </c>
    </row>
    <row r="46" spans="1:8" ht="12.75">
      <c r="A46" t="s">
        <v>135</v>
      </c>
      <c r="B46">
        <v>6</v>
      </c>
      <c r="C46">
        <v>150</v>
      </c>
      <c r="D46">
        <v>2794</v>
      </c>
      <c r="E46">
        <f>D46-Calibration!$I$3</f>
        <v>1394.2</v>
      </c>
      <c r="F46" s="19">
        <v>5</v>
      </c>
      <c r="G46" s="19">
        <v>1000</v>
      </c>
      <c r="H46" s="7">
        <f>(E46*Calibration!$I$2)*(F46/G46)*1000</f>
        <v>9.893046690585187</v>
      </c>
    </row>
    <row r="48" ht="12.75">
      <c r="A48" t="s">
        <v>133</v>
      </c>
    </row>
    <row r="49" spans="1:2" ht="12.75">
      <c r="A49" t="s">
        <v>14</v>
      </c>
      <c r="B49">
        <v>3959</v>
      </c>
    </row>
    <row r="50" spans="1:2" ht="12.75">
      <c r="A50" t="s">
        <v>14</v>
      </c>
      <c r="B50">
        <v>4078</v>
      </c>
    </row>
    <row r="51" spans="1:2" ht="12.75">
      <c r="A51" t="s">
        <v>86</v>
      </c>
      <c r="B51">
        <v>4972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L22" sqref="L22"/>
    </sheetView>
  </sheetViews>
  <sheetFormatPr defaultColWidth="9.140625" defaultRowHeight="12.75"/>
  <cols>
    <col min="4" max="4" width="11.28125" style="0" customWidth="1"/>
    <col min="6" max="6" width="10.57421875" style="0" customWidth="1"/>
  </cols>
  <sheetData>
    <row r="1" spans="4:7" ht="12.75">
      <c r="D1" t="s">
        <v>91</v>
      </c>
      <c r="G1" t="s">
        <v>92</v>
      </c>
    </row>
    <row r="2" spans="3:9" ht="15.75">
      <c r="C2" s="13"/>
      <c r="D2" s="14" t="s">
        <v>59</v>
      </c>
      <c r="E2" s="15">
        <f>SLOPE(F11:F20,D11:D20)</f>
        <v>0.0011488914801248168</v>
      </c>
      <c r="H2" s="14" t="s">
        <v>59</v>
      </c>
      <c r="I2" s="15">
        <f>SLOPE(F32:F41,D32:D41)</f>
        <v>0.0014191718104411399</v>
      </c>
    </row>
    <row r="3" spans="4:9" ht="15.75">
      <c r="D3" s="14" t="s">
        <v>69</v>
      </c>
      <c r="E3" s="15">
        <f>AVERAGE(C6:C9)</f>
        <v>2430</v>
      </c>
      <c r="H3" s="14" t="s">
        <v>69</v>
      </c>
      <c r="I3" s="15">
        <f>D27</f>
        <v>1399.8</v>
      </c>
    </row>
    <row r="4" spans="4:5" ht="12.75">
      <c r="D4" s="12"/>
      <c r="E4" s="9"/>
    </row>
    <row r="6" spans="1:3" ht="12.75">
      <c r="A6" t="s">
        <v>51</v>
      </c>
      <c r="C6">
        <v>2613</v>
      </c>
    </row>
    <row r="7" spans="1:3" ht="12.75">
      <c r="A7" t="s">
        <v>52</v>
      </c>
      <c r="C7">
        <v>2650</v>
      </c>
    </row>
    <row r="8" spans="1:3" ht="12.75">
      <c r="A8" t="s">
        <v>53</v>
      </c>
      <c r="C8">
        <v>2229</v>
      </c>
    </row>
    <row r="9" spans="1:3" ht="12.75">
      <c r="A9" t="s">
        <v>54</v>
      </c>
      <c r="C9">
        <v>2228</v>
      </c>
    </row>
    <row r="10" spans="3:6" s="10" customFormat="1" ht="38.25">
      <c r="C10" s="10" t="s">
        <v>58</v>
      </c>
      <c r="D10" s="10" t="s">
        <v>70</v>
      </c>
      <c r="E10" s="10" t="s">
        <v>60</v>
      </c>
      <c r="F10" s="10" t="s">
        <v>71</v>
      </c>
    </row>
    <row r="11" spans="1:6" ht="12.75">
      <c r="A11" t="s">
        <v>1</v>
      </c>
      <c r="C11">
        <v>2501</v>
      </c>
      <c r="D11">
        <f>C11-E$3</f>
        <v>71</v>
      </c>
      <c r="E11">
        <v>0.1</v>
      </c>
      <c r="F11">
        <f>E11*0.85</f>
        <v>0.085</v>
      </c>
    </row>
    <row r="12" spans="1:6" ht="12.75">
      <c r="A12" t="s">
        <v>2</v>
      </c>
      <c r="C12">
        <v>2746</v>
      </c>
      <c r="D12">
        <f aca="true" t="shared" si="0" ref="D12:D22">C12-2430</f>
        <v>316</v>
      </c>
      <c r="E12">
        <v>0.3</v>
      </c>
      <c r="F12">
        <f aca="true" t="shared" si="1" ref="F12:F22">E12*0.85</f>
        <v>0.255</v>
      </c>
    </row>
    <row r="13" spans="1:6" ht="12.75">
      <c r="A13" t="s">
        <v>3</v>
      </c>
      <c r="C13">
        <v>2761</v>
      </c>
      <c r="D13">
        <f t="shared" si="0"/>
        <v>331</v>
      </c>
      <c r="E13">
        <v>0.5</v>
      </c>
      <c r="F13">
        <f t="shared" si="1"/>
        <v>0.425</v>
      </c>
    </row>
    <row r="14" spans="1:6" ht="12.75">
      <c r="A14" t="s">
        <v>5</v>
      </c>
      <c r="C14">
        <v>3117</v>
      </c>
      <c r="D14">
        <f t="shared" si="0"/>
        <v>687</v>
      </c>
      <c r="E14">
        <v>1</v>
      </c>
      <c r="F14">
        <f t="shared" si="1"/>
        <v>0.85</v>
      </c>
    </row>
    <row r="15" spans="1:6" ht="12.75">
      <c r="A15" t="s">
        <v>4</v>
      </c>
      <c r="C15">
        <v>4727</v>
      </c>
      <c r="D15">
        <f t="shared" si="0"/>
        <v>2297</v>
      </c>
      <c r="E15">
        <v>3</v>
      </c>
      <c r="F15">
        <f t="shared" si="1"/>
        <v>2.55</v>
      </c>
    </row>
    <row r="16" spans="1:6" ht="12.75">
      <c r="A16" t="s">
        <v>6</v>
      </c>
      <c r="C16">
        <v>6198</v>
      </c>
      <c r="D16">
        <f t="shared" si="0"/>
        <v>3768</v>
      </c>
      <c r="E16">
        <v>5</v>
      </c>
      <c r="F16">
        <f t="shared" si="1"/>
        <v>4.25</v>
      </c>
    </row>
    <row r="17" spans="1:6" ht="12.75">
      <c r="A17" t="s">
        <v>7</v>
      </c>
      <c r="C17">
        <v>8017</v>
      </c>
      <c r="D17">
        <f t="shared" si="0"/>
        <v>5587</v>
      </c>
      <c r="E17">
        <v>7.5</v>
      </c>
      <c r="F17">
        <f t="shared" si="1"/>
        <v>6.375</v>
      </c>
    </row>
    <row r="18" spans="1:6" ht="12.75">
      <c r="A18" t="s">
        <v>8</v>
      </c>
      <c r="C18">
        <v>10260</v>
      </c>
      <c r="D18">
        <f t="shared" si="0"/>
        <v>7830</v>
      </c>
      <c r="E18">
        <v>10</v>
      </c>
      <c r="F18">
        <f t="shared" si="1"/>
        <v>8.5</v>
      </c>
    </row>
    <row r="19" spans="1:6" ht="12.75">
      <c r="A19" t="s">
        <v>9</v>
      </c>
      <c r="C19">
        <v>13458</v>
      </c>
      <c r="D19">
        <f t="shared" si="0"/>
        <v>11028</v>
      </c>
      <c r="E19">
        <v>15</v>
      </c>
      <c r="F19">
        <f t="shared" si="1"/>
        <v>12.75</v>
      </c>
    </row>
    <row r="20" spans="1:6" ht="12.75">
      <c r="A20" t="s">
        <v>10</v>
      </c>
      <c r="C20">
        <v>24608</v>
      </c>
      <c r="D20">
        <f t="shared" si="0"/>
        <v>22178</v>
      </c>
      <c r="E20">
        <v>30</v>
      </c>
      <c r="F20">
        <f t="shared" si="1"/>
        <v>25.5</v>
      </c>
    </row>
    <row r="21" spans="1:6" ht="12.75">
      <c r="A21" t="s">
        <v>11</v>
      </c>
      <c r="C21">
        <v>43044</v>
      </c>
      <c r="D21">
        <f t="shared" si="0"/>
        <v>40614</v>
      </c>
      <c r="E21">
        <v>50</v>
      </c>
      <c r="F21">
        <f t="shared" si="1"/>
        <v>42.5</v>
      </c>
    </row>
    <row r="22" spans="1:6" ht="12.75">
      <c r="A22" t="s">
        <v>12</v>
      </c>
      <c r="C22">
        <v>86204</v>
      </c>
      <c r="D22">
        <f t="shared" si="0"/>
        <v>83774</v>
      </c>
      <c r="E22">
        <v>100</v>
      </c>
      <c r="F22">
        <f t="shared" si="1"/>
        <v>85</v>
      </c>
    </row>
    <row r="24" ht="12.75">
      <c r="A24" s="17" t="s">
        <v>88</v>
      </c>
    </row>
    <row r="25" ht="12.75">
      <c r="A25" s="9" t="s">
        <v>89</v>
      </c>
    </row>
    <row r="26" spans="1:4" ht="12.75">
      <c r="A26" t="s">
        <v>73</v>
      </c>
      <c r="B26">
        <v>1556</v>
      </c>
      <c r="D26" t="s">
        <v>90</v>
      </c>
    </row>
    <row r="27" spans="1:4" ht="12.75">
      <c r="A27" t="s">
        <v>74</v>
      </c>
      <c r="B27">
        <v>1426</v>
      </c>
      <c r="D27">
        <f>AVERAGE(B26:B30)</f>
        <v>1399.8</v>
      </c>
    </row>
    <row r="28" spans="1:2" ht="12.75">
      <c r="A28" t="s">
        <v>13</v>
      </c>
      <c r="B28">
        <v>1393</v>
      </c>
    </row>
    <row r="29" spans="1:2" ht="12.75">
      <c r="A29" t="s">
        <v>87</v>
      </c>
      <c r="B29">
        <v>1424</v>
      </c>
    </row>
    <row r="30" spans="1:2" ht="12.75">
      <c r="A30" t="s">
        <v>0</v>
      </c>
      <c r="B30">
        <v>1200</v>
      </c>
    </row>
    <row r="31" spans="3:6" ht="38.25">
      <c r="C31" s="10" t="s">
        <v>58</v>
      </c>
      <c r="D31" s="10" t="s">
        <v>70</v>
      </c>
      <c r="E31" s="10" t="s">
        <v>60</v>
      </c>
      <c r="F31" s="10" t="s">
        <v>71</v>
      </c>
    </row>
    <row r="32" spans="1:6" ht="12.75">
      <c r="A32" t="s">
        <v>1</v>
      </c>
      <c r="C32">
        <v>1636</v>
      </c>
      <c r="D32" s="3">
        <f>C32-$D$27</f>
        <v>236.20000000000005</v>
      </c>
      <c r="E32">
        <v>0.1</v>
      </c>
      <c r="F32">
        <f>E32*0.85</f>
        <v>0.085</v>
      </c>
    </row>
    <row r="33" spans="1:6" ht="12.75">
      <c r="A33" t="s">
        <v>75</v>
      </c>
      <c r="C33">
        <v>1649</v>
      </c>
      <c r="D33" s="3">
        <f aca="true" t="shared" si="2" ref="D33:D43">C33-$D$27</f>
        <v>249.20000000000005</v>
      </c>
      <c r="E33">
        <v>0.3</v>
      </c>
      <c r="F33">
        <f aca="true" t="shared" si="3" ref="F33:F43">E33*0.85</f>
        <v>0.255</v>
      </c>
    </row>
    <row r="34" spans="1:6" ht="12.75">
      <c r="A34" t="s">
        <v>76</v>
      </c>
      <c r="C34">
        <v>1789</v>
      </c>
      <c r="D34" s="3">
        <f t="shared" si="2"/>
        <v>389.20000000000005</v>
      </c>
      <c r="E34">
        <v>0.5</v>
      </c>
      <c r="F34">
        <f t="shared" si="3"/>
        <v>0.425</v>
      </c>
    </row>
    <row r="35" spans="1:6" ht="12.75">
      <c r="A35" t="s">
        <v>77</v>
      </c>
      <c r="C35">
        <v>2101</v>
      </c>
      <c r="D35" s="3">
        <f t="shared" si="2"/>
        <v>701.2</v>
      </c>
      <c r="E35">
        <v>1</v>
      </c>
      <c r="F35">
        <f t="shared" si="3"/>
        <v>0.85</v>
      </c>
    </row>
    <row r="36" spans="1:6" ht="12.75">
      <c r="A36" t="s">
        <v>78</v>
      </c>
      <c r="C36">
        <v>3246</v>
      </c>
      <c r="D36" s="3">
        <f t="shared" si="2"/>
        <v>1846.2</v>
      </c>
      <c r="E36">
        <v>3</v>
      </c>
      <c r="F36">
        <f t="shared" si="3"/>
        <v>2.55</v>
      </c>
    </row>
    <row r="37" spans="1:6" ht="12.75">
      <c r="A37" t="s">
        <v>79</v>
      </c>
      <c r="C37">
        <v>4109</v>
      </c>
      <c r="D37" s="3">
        <f t="shared" si="2"/>
        <v>2709.2</v>
      </c>
      <c r="E37">
        <v>5</v>
      </c>
      <c r="F37">
        <f t="shared" si="3"/>
        <v>4.25</v>
      </c>
    </row>
    <row r="38" spans="1:6" ht="12.75">
      <c r="A38" t="s">
        <v>80</v>
      </c>
      <c r="C38">
        <v>5842</v>
      </c>
      <c r="D38" s="3">
        <f t="shared" si="2"/>
        <v>4442.2</v>
      </c>
      <c r="E38">
        <v>7.5</v>
      </c>
      <c r="F38">
        <f t="shared" si="3"/>
        <v>6.375</v>
      </c>
    </row>
    <row r="39" spans="1:6" ht="12.75">
      <c r="A39" t="s">
        <v>81</v>
      </c>
      <c r="C39">
        <v>7624</v>
      </c>
      <c r="D39" s="3">
        <f t="shared" si="2"/>
        <v>6224.2</v>
      </c>
      <c r="E39">
        <v>10</v>
      </c>
      <c r="F39">
        <f t="shared" si="3"/>
        <v>8.5</v>
      </c>
    </row>
    <row r="40" spans="1:6" ht="12.75">
      <c r="A40" t="s">
        <v>82</v>
      </c>
      <c r="C40">
        <v>10235</v>
      </c>
      <c r="D40" s="3">
        <f t="shared" si="2"/>
        <v>8835.2</v>
      </c>
      <c r="E40">
        <v>15</v>
      </c>
      <c r="F40">
        <f t="shared" si="3"/>
        <v>12.75</v>
      </c>
    </row>
    <row r="41" spans="1:6" ht="12.75">
      <c r="A41" t="s">
        <v>83</v>
      </c>
      <c r="C41">
        <v>19487</v>
      </c>
      <c r="D41" s="3">
        <f t="shared" si="2"/>
        <v>18087.2</v>
      </c>
      <c r="E41">
        <v>30</v>
      </c>
      <c r="F41">
        <f t="shared" si="3"/>
        <v>25.5</v>
      </c>
    </row>
    <row r="42" spans="1:6" ht="12.75">
      <c r="A42" t="s">
        <v>84</v>
      </c>
      <c r="C42">
        <v>31996</v>
      </c>
      <c r="D42" s="3">
        <f t="shared" si="2"/>
        <v>30596.2</v>
      </c>
      <c r="E42">
        <v>50</v>
      </c>
      <c r="F42">
        <f t="shared" si="3"/>
        <v>42.5</v>
      </c>
    </row>
    <row r="43" spans="1:6" ht="12.75">
      <c r="A43" t="s">
        <v>85</v>
      </c>
      <c r="C43">
        <v>65360</v>
      </c>
      <c r="D43" s="3">
        <f t="shared" si="2"/>
        <v>63960.2</v>
      </c>
      <c r="E43">
        <v>100</v>
      </c>
      <c r="F43">
        <f t="shared" si="3"/>
        <v>85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Turner 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</dc:creator>
  <cp:keywords/>
  <dc:description/>
  <cp:lastModifiedBy>Lance A. Fujieki</cp:lastModifiedBy>
  <dcterms:created xsi:type="dcterms:W3CDTF">2002-12-02T21:26:43Z</dcterms:created>
  <dcterms:modified xsi:type="dcterms:W3CDTF">2006-07-10T04:18:04Z</dcterms:modified>
  <cp:category/>
  <cp:version/>
  <cp:contentType/>
  <cp:contentStatus/>
</cp:coreProperties>
</file>